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63FCC1C-B5BF-4357-BA5B-CD007DD005C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E95" i="4" l="1"/>
  <c r="F96" i="4"/>
  <c r="E92" i="4"/>
  <c r="F97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<sst xmlns="http://schemas.openxmlformats.org/spreadsheetml/2006/main" count="405" uniqueCount="289">
  <si>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</si>
  <si>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</si>
  <si>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</si>
  <si>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</si>
  <si>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</si>
  <si>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</si>
  <si>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</si>
  <si>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</si>
  <si>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</si>
  <si>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</si>
  <si>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</si>
  <si>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</si>
  <si>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</si>
  <si>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</si>
  <si>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</si>
  <si>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</si>
  <si>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</si>
  <si>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</si>
  <si>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</si>
  <si>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</si>
  <si>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</si>
  <si>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</si>
  <si>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</si>
  <si>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</si>
  <si>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</si>
  <si>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</si>
  <si>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</si>
  <si>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</si>
  <si>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</si>
  <si>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</si>
  <si>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</si>
  <si>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</si>
  <si>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</si>
  <si>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</si>
  <si>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</si>
  <si>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</si>
  <si>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</si>
  <si>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</si>
  <si>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</si>
  <si>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</si>
  <si>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</si>
  <si>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</si>
  <si>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</si>
  <si>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</si>
  <si>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</si>
  <si>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</si>
  <si>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</si>
  <si>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</si>
  <si>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</si>
  <si>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</si>
  <si>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</si>
  <si>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</si>
  <si>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</si>
  <si>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</si>
  <si>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</si>
  <si>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</si>
  <si>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</si>
  <si>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</si>
  <si>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</si>
  <si>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</si>
  <si>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</si>
  <si>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</si>
  <si>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</si>
  <si>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</si>
  <si>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</si>
  <si>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</si>
  <si>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</si>
  <si>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</si>
  <si>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</si>
  <si>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</si>
  <si>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</si>
  <si>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</si>
  <si>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</si>
  <si>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</si>
  <si>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</si>
  <si>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</si>
  <si>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</si>
  <si>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</si>
  <si>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</si>
  <si>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</si>
  <si>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</si>
  <si>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</si>
  <si>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</si>
  <si>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</si>
  <si>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</si>
  <si>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</si>
  <si>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</si>
  <si>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</si>
  <si>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</si>
  <si>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</si>
  <si>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</si>
  <si>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</si>
  <si>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</si>
  <si>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</si>
  <si>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</si>
  <si>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</si>
  <si>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</si>
  <si>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</si>
  <si>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</si>
  <si>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</si>
  <si>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</si>
  <si>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</si>
  <si>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</si>
  <si>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</si>
  <si>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</si>
  <si>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</si>
  <si>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</si>
  <si>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</si>
  <si>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</si>
  <si>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</si>
  <si>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</si>
  <si>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</si>
  <si>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</si>
  <si>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</si>
  <si>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</si>
  <si>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</si>
  <si>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</si>
  <si>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</si>
  <si>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</si>
  <si>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</si>
  <si>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</si>
  <si>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</si>
  <si>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</si>
  <si>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</si>
  <si>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</si>
  <si>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</si>
  <si>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</si>
  <si>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</si>
  <si>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</si>
  <si>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</si>
  <si>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</si>
  <si>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</si>
  <si>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</si>
  <si>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</si>
  <si>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</si>
  <si>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</si>
  <si>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</si>
  <si>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</si>
  <si>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</si>
  <si>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</si>
  <si>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</si>
  <si>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</si>
  <si>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</si>
  <si>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</si>
  <si>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</si>
  <si>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</si>
  <si>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</si>
  <si>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</si>
  <si>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</si>
  <si>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</si>
  <si>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</si>
  <si>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</si>
  <si>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</si>
  <si>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</si>
  <si>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</si>
  <si>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</si>
  <si>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</si>
  <si>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</si>
  <si>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</si>
  <si>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</si>
  <si>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</si>
  <si>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</si>
  <si>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</si>
  <si>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</si>
  <si>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</si>
  <si>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</si>
  <si>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</si>
  <si>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</si>
  <si>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</si>
  <si>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</si>
  <si>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</si>
  <si>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</si>
  <si>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</si>
  <si>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</si>
  <si>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</si>
  <si>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</si>
  <si>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</si>
  <si>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</si>
  <si>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</si>
  <si>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</si>
  <si>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</si>
  <si>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</si>
  <si>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</si>
  <si>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</si>
  <si>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</si>
  <si>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</si>
  <si>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</si>
  <si>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</si>
  <si>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</si>
  <si>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</si>
  <si>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</si>
  <si>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</si>
  <si>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</si>
  <si>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</si>
  <si>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</si>
  <si>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</si>
  <si>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</si>
  <si>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</si>
  <si>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</si>
  <si>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</si>
  <si>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</si>
  <si>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</si>
  <si>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</si>
  <si>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</si>
  <si>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</si>
  <si>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</si>
  <si>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</si>
  <si>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</si>
  <si>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</si>
  <si>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</si>
  <si>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</si>
  <si>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</si>
  <si>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</si>
  <si>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</si>
  <si>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</si>
  <si>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</si>
  <si>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</si>
  <si>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</si>
  <si>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</si>
  <si>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</si>
  <si>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</si>
  <si>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</si>
  <si>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</si>
  <si>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</si>
  <si>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</si>
  <si>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</si>
  <si>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</si>
  <si>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</si>
  <si>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</si>
  <si>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</si>
  <si>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</si>
  <si>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</si>
  <si>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</si>
  <si>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</si>
  <si>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</si>
  <si>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</si>
  <si>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</si>
  <si>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</si>
  <si>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</si>
  <si>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</si>
  <si>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</si>
  <si>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</si>
  <si>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</si>
  <si>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</si>
  <si>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</si>
  <si>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</si>
  <si>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</si>
  <si>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</si>
  <si>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</si>
  <si>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</si>
  <si>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</si>
  <si>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</si>
  <si>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</si>
  <si>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</si>
  <si>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</si>
  <si>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</si>
  <si>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</si>
  <si>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</si>
  <si>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</si>
  <si>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</si>
  <si>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</si>
  <si>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</si>
  <si>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</si>
  <si>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</si>
  <si>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</si>
  <si>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</si>
  <si>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</si>
  <si>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</si>
  <si>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</si>
  <si>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</si>
  <si>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</si>
  <si>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</si>
  <si>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</si>
  <si>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</si>
  <si>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</si>
  <si>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</si>
  <si>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</si>
  <si>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</si>
  <si>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</si>
  <si>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</si>
  <si>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</si>
  <si>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2388.HK</t>
  </si>
  <si>
    <t>中银香港</t>
  </si>
  <si>
    <t xml:space="preserve">Superior Cycl. </t>
  </si>
  <si>
    <t>C0014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</si>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</sst>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281</v>
      </c>
      <c r="D4" s="66"/>
    </row>
    <row r="5" spans="1:5" x14ac:dyDescent="0.35">
      <c r="B5" s="46" t="s">
        <v>169</v>
      </c>
      <c r="C5" s="67" t="s">
        <v>282</v>
      </c>
    </row>
    <row r="6" spans="1:5" x14ac:dyDescent="0.35">
      <c r="B6" s="46" t="s">
        <v>268</v>
      </c>
      <c r="C6" s="68">
        <v>45593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283</v>
      </c>
    </row>
    <row r="9" spans="1:5" x14ac:dyDescent="0.35">
      <c r="B9" s="39" t="s">
        <v>190</v>
      </c>
      <c r="C9" s="119" t="s">
        <v>284</v>
      </c>
    </row>
    <row r="10" spans="1:5" x14ac:dyDescent="0.35">
      <c r="B10" s="39" t="s">
        <v>191</v>
      </c>
      <c r="C10" s="70">
        <v>10572780266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221</v>
      </c>
      <c r="C15" s="117" t="s">
        <v>165</v>
      </c>
    </row>
    <row r="16" spans="1:5" x14ac:dyDescent="0.35">
      <c r="B16" s="74" t="s">
        <v>89</v>
      </c>
      <c r="C16" s="120">
        <v>0.22500000000000001</v>
      </c>
      <c r="D16" s="75"/>
      <c r="E16" s="25" t="s">
        <v>251</v>
      </c>
    </row>
    <row r="17" spans="2:13" x14ac:dyDescent="0.35">
      <c r="B17" s="56" t="s">
        <v>197</v>
      </c>
      <c r="C17" s="121" t="s">
        <v>285</v>
      </c>
      <c r="D17" s="75"/>
    </row>
    <row r="18" spans="2:13" x14ac:dyDescent="0.35">
      <c r="B18" s="56" t="s">
        <v>210</v>
      </c>
      <c r="C18" s="121" t="s">
        <v>286</v>
      </c>
      <c r="D18" s="75"/>
    </row>
    <row r="19" spans="2:13" x14ac:dyDescent="0.35">
      <c r="B19" s="56" t="s">
        <v>211</v>
      </c>
      <c r="C19" s="121" t="s">
        <v>286</v>
      </c>
      <c r="D19" s="75"/>
    </row>
    <row r="20" spans="2:13" x14ac:dyDescent="0.35">
      <c r="B20" s="57" t="s">
        <v>200</v>
      </c>
      <c r="C20" s="121" t="s">
        <v>286</v>
      </c>
      <c r="D20" s="75"/>
    </row>
    <row r="21" spans="2:13" x14ac:dyDescent="0.35">
      <c r="B21" s="2" t="s">
        <v>203</v>
      </c>
      <c r="C21" s="121" t="s">
        <v>285</v>
      </c>
      <c r="D21" s="75"/>
    </row>
    <row r="22" spans="2:13" ht="69.75" x14ac:dyDescent="0.35">
      <c r="B22" s="59" t="s">
        <v>202</v>
      </c>
      <c r="C22" s="122" t="s">
        <v>287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142573</v>
      </c>
      <c r="D25" s="77">
        <v>77824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4079</v>
      </c>
      <c r="D26" s="78">
        <v>3197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16607</v>
      </c>
      <c r="D27" s="78">
        <v>16950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77411</v>
      </c>
      <c r="D29" s="78">
        <v>25020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1290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2134</v>
      </c>
      <c r="D31" s="78">
        <v>1290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1.145+0.57</f>
        <v>1.7149999999999999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7.0431211498973301E-2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288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142573</v>
      </c>
      <c r="D91" s="98"/>
      <c r="E91" s="99">
        <f>C91</f>
        <v>142573</v>
      </c>
      <c r="F91" s="99">
        <f>C91</f>
        <v>142573</v>
      </c>
    </row>
    <row r="92" spans="2:8" x14ac:dyDescent="0.35">
      <c r="B92" s="100" t="s">
        <v>98</v>
      </c>
      <c r="C92" s="97">
        <f>C26</f>
        <v>4079</v>
      </c>
      <c r="D92" s="101">
        <f>C92/C91</f>
        <v>2.8609905101246377E-2</v>
      </c>
      <c r="E92" s="102">
        <f>E91*D92</f>
        <v>4078.9999999999995</v>
      </c>
      <c r="F92" s="102">
        <f>F91*D92</f>
        <v>4078.9999999999995</v>
      </c>
    </row>
    <row r="93" spans="2:8" x14ac:dyDescent="0.35">
      <c r="B93" s="100" t="s">
        <v>216</v>
      </c>
      <c r="C93" s="97">
        <f>C27+C28</f>
        <v>16607</v>
      </c>
      <c r="D93" s="101">
        <f>C93/C91</f>
        <v>0.11648068007266453</v>
      </c>
      <c r="E93" s="102">
        <f>E91*D93</f>
        <v>16607</v>
      </c>
      <c r="F93" s="102">
        <f>F91*D93</f>
        <v>16607</v>
      </c>
    </row>
    <row r="94" spans="2:8" x14ac:dyDescent="0.35">
      <c r="B94" s="100" t="s">
        <v>222</v>
      </c>
      <c r="C94" s="97">
        <f>C29</f>
        <v>77411</v>
      </c>
      <c r="D94" s="101">
        <f>C94/C91</f>
        <v>0.54295694135635775</v>
      </c>
      <c r="E94" s="103"/>
      <c r="F94" s="102">
        <f>F91*D94</f>
        <v>77411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2753.5483870967741</v>
      </c>
      <c r="D97" s="101">
        <f>C97/C91</f>
        <v>1.9313252769435827E-2</v>
      </c>
      <c r="E97" s="103"/>
      <c r="F97" s="102">
        <f>F91*D97</f>
        <v>2753.5483870967741</v>
      </c>
    </row>
    <row r="98" spans="2:6" x14ac:dyDescent="0.35">
      <c r="B98" s="8" t="s">
        <v>181</v>
      </c>
      <c r="C98" s="104">
        <f>C44</f>
        <v>1.7149999999999999</v>
      </c>
      <c r="D98" s="105"/>
      <c r="E98" s="106">
        <f>F98</f>
        <v>1.48</v>
      </c>
      <c r="F98" s="106">
        <f>0.91+0.57</f>
        <v>1.48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2388.HK : 中银香港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168</v>
      </c>
      <c r="C3" s="312" t="str">
        <f>Inputs!C4</f>
        <v>2388.HK</v>
      </c>
      <c r="D3" s="313"/>
      <c r="E3" s="3"/>
      <c r="F3" s="9" t="s">
        <v>1</v>
      </c>
      <c r="G3" s="10">
        <v>24.35</v>
      </c>
      <c r="H3" s="11" t="s">
        <v>256</v>
      </c>
    </row>
    <row r="4" spans="1:10" ht="15.75" customHeight="1" x14ac:dyDescent="0.35">
      <c r="B4" s="12" t="s">
        <v>169</v>
      </c>
      <c r="C4" s="314" t="str">
        <f>Inputs!C5</f>
        <v>中银香港</v>
      </c>
      <c r="D4" s="315"/>
      <c r="E4" s="3"/>
      <c r="F4" s="9" t="s">
        <v>3</v>
      </c>
      <c r="G4" s="318">
        <f>Inputs!C10</f>
        <v>10572780266</v>
      </c>
      <c r="H4" s="318"/>
      <c r="I4" s="14"/>
    </row>
    <row r="5" spans="1:10" ht="15.75" customHeight="1" x14ac:dyDescent="0.35">
      <c r="B5" s="9" t="s">
        <v>146</v>
      </c>
      <c r="C5" s="316">
        <f>Inputs!C6</f>
        <v>45593</v>
      </c>
      <c r="D5" s="317"/>
      <c r="E5" s="16"/>
      <c r="F5" s="12" t="s">
        <v>92</v>
      </c>
      <c r="G5" s="321">
        <f>G3*G4/1000000</f>
        <v>257447.19947710002</v>
      </c>
      <c r="H5" s="321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22" t="str">
        <f>Inputs!C11</f>
        <v>HKD</v>
      </c>
      <c r="H6" s="322"/>
      <c r="I6" s="17"/>
    </row>
    <row r="7" spans="1:10" ht="15.75" customHeight="1" x14ac:dyDescent="0.35">
      <c r="B7" s="8" t="s">
        <v>166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0.83559616205665332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164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0.54295694135635775</v>
      </c>
      <c r="F24" s="39" t="s">
        <v>224</v>
      </c>
      <c r="G24" s="43">
        <f>G3/(Fin_Analysis!H86*G7)</f>
        <v>7.9618987371879921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152</v>
      </c>
      <c r="G25" s="44">
        <f>Fin_Analysis!I88</f>
        <v>0.48392649408781224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167</v>
      </c>
      <c r="G26" s="47">
        <f>Fin_Analysis!H88*Exchange_Rate/G3</f>
        <v>6.0780287474332645E-2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9" t="s">
        <v>223</v>
      </c>
      <c r="H28" s="319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16.55878063086023</v>
      </c>
      <c r="D29" s="54">
        <f>G29*(1+G20)</f>
        <v>29.340314971992409</v>
      </c>
      <c r="E29" s="3"/>
      <c r="F29" s="55">
        <f>IF(Fin_Analysis!C108="Profit",Fin_Analysis!F100,IF(Fin_Analysis!C108="Dividend",Fin_Analysis!F103,Fin_Analysis!F106))</f>
        <v>19.480918389247329</v>
      </c>
      <c r="G29" s="320">
        <f>IF(Fin_Analysis!C108="Profit",Fin_Analysis!I100,IF(Fin_Analysis!C108="Dividend",Fin_Analysis!I103,Fin_Analysis!I106))</f>
        <v>25.513317366949924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agree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119133.45161290323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142573</v>
      </c>
      <c r="D6" s="142">
        <f>IF(Inputs!D25="","",Inputs!D25)</f>
        <v>77824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0.83199270148026305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4079</v>
      </c>
      <c r="D8" s="144">
        <f>IF(Inputs!D26="","",Inputs!D26)</f>
        <v>3197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138494</v>
      </c>
      <c r="D9" s="273">
        <f t="shared" si="2"/>
        <v>74627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16607</v>
      </c>
      <c r="D10" s="144">
        <f>IF(Inputs!D27="","",Inputs!D27)</f>
        <v>16950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2753.5483870967741</v>
      </c>
      <c r="D12" s="144">
        <f>IF(Inputs!D31="","",MAX(Inputs!D31,0)/(1-Fin_Analysis!$I$84))</f>
        <v>1664.516129032258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0.83559616205665332</v>
      </c>
      <c r="D13" s="292">
        <f t="shared" si="3"/>
        <v>0.71973278000318341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119133.45161290323</v>
      </c>
      <c r="D14" s="294">
        <f t="shared" ref="D14:M14" si="4">IF(D6="","",D9-D10-MAX(D11,0)-MAX(D12,0))</f>
        <v>56012.483870967742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1.1269089206496017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-54722.483870967742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1290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77411</v>
      </c>
      <c r="D19" s="144">
        <f>IF(Inputs!D29="","",Inputs!D29)</f>
        <v>25020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41722.451612903227</v>
      </c>
      <c r="D24" s="309">
        <f t="shared" si="9"/>
        <v>30992.483870967742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0.226795396042729</v>
      </c>
      <c r="D25" s="143">
        <f t="shared" si="10"/>
        <v>0.30863454718338817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32334.9</v>
      </c>
      <c r="D26" s="276">
        <f>IF(D6="","",D24*(1-Fin_Analysis!$I$84))</f>
        <v>24019.174999999999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0.34621193275789042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2.8609905101246377E-2</v>
      </c>
      <c r="D42" s="150">
        <f t="shared" si="35"/>
        <v>4.1079872532894739E-2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0.11648068007266453</v>
      </c>
      <c r="D43" s="146">
        <f t="shared" si="36"/>
        <v>0.21779913651315788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0.54295694135635775</v>
      </c>
      <c r="D45" s="146">
        <f t="shared" si="38"/>
        <v>0.32149465460526316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1.9313252769435827E-2</v>
      </c>
      <c r="D46" s="146">
        <f t="shared" si="39"/>
        <v>2.1388210950764007E-2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0.29263922070029547</v>
      </c>
      <c r="D48" s="281">
        <f t="shared" si="41"/>
        <v>0.3982381253979202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1.8553799455077948</v>
      </c>
      <c r="D57" s="146">
        <f t="shared" si="48"/>
        <v>0.80729250692415533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0</v>
      </c>
      <c r="K3" s="75"/>
    </row>
    <row r="4" spans="1:11" ht="15" customHeight="1" x14ac:dyDescent="0.35">
      <c r="B4" s="9" t="s">
        <v>22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273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0</v>
      </c>
      <c r="J48" s="187"/>
    </row>
    <row r="49" spans="2:11" ht="15" customHeight="1" thickTop="1" x14ac:dyDescent="0.35">
      <c r="B49" s="9" t="s">
        <v>14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79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18">
        <f>Inputs!C84</f>
        <v>0</v>
      </c>
      <c r="E57" s="317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142573</v>
      </c>
      <c r="D74" s="98"/>
      <c r="E74" s="256">
        <f>Inputs!E91</f>
        <v>142573</v>
      </c>
      <c r="F74" s="98"/>
      <c r="H74" s="256">
        <f>Inputs!F91</f>
        <v>142573</v>
      </c>
      <c r="I74" s="98"/>
      <c r="K74" s="75"/>
    </row>
    <row r="75" spans="1:11" ht="15" customHeight="1" x14ac:dyDescent="0.35">
      <c r="B75" s="100" t="s">
        <v>98</v>
      </c>
      <c r="C75" s="97">
        <f>Data!C8</f>
        <v>4079</v>
      </c>
      <c r="D75" s="101">
        <f>C75/$C$74</f>
        <v>2.8609905101246377E-2</v>
      </c>
      <c r="E75" s="256">
        <f>Inputs!E92</f>
        <v>4078.9999999999995</v>
      </c>
      <c r="F75" s="211">
        <f>E75/E74</f>
        <v>2.8609905101246377E-2</v>
      </c>
      <c r="H75" s="256">
        <f>Inputs!F92</f>
        <v>4078.9999999999995</v>
      </c>
      <c r="I75" s="211">
        <f>H75/$H$74</f>
        <v>2.8609905101246377E-2</v>
      </c>
      <c r="K75" s="75"/>
    </row>
    <row r="76" spans="1:11" ht="15" customHeight="1" x14ac:dyDescent="0.35">
      <c r="B76" s="12" t="s">
        <v>88</v>
      </c>
      <c r="C76" s="145">
        <f>C74-C75</f>
        <v>138494</v>
      </c>
      <c r="D76" s="212"/>
      <c r="E76" s="213">
        <f>E74-E75</f>
        <v>138494</v>
      </c>
      <c r="F76" s="212"/>
      <c r="H76" s="213">
        <f>H74-H75</f>
        <v>138494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16607</v>
      </c>
      <c r="D77" s="101">
        <f>C77/$C$74</f>
        <v>0.11648068007266453</v>
      </c>
      <c r="E77" s="256">
        <f>Inputs!E93</f>
        <v>16607</v>
      </c>
      <c r="F77" s="211">
        <f>E77/E74</f>
        <v>0.11648068007266453</v>
      </c>
      <c r="H77" s="256">
        <f>Inputs!F93</f>
        <v>16607</v>
      </c>
      <c r="I77" s="211">
        <f>H77/$H$74</f>
        <v>0.11648068007266453</v>
      </c>
      <c r="K77" s="75"/>
    </row>
    <row r="78" spans="1:11" ht="15" customHeight="1" x14ac:dyDescent="0.35">
      <c r="B78" s="93" t="s">
        <v>151</v>
      </c>
      <c r="C78" s="97">
        <f>MAX(Data!C12,0)</f>
        <v>2753.5483870967741</v>
      </c>
      <c r="D78" s="101">
        <f>C78/$C$74</f>
        <v>1.9313252769435827E-2</v>
      </c>
      <c r="E78" s="214">
        <f>E74*F78</f>
        <v>2753.5483870967741</v>
      </c>
      <c r="F78" s="211">
        <f>I78</f>
        <v>1.9313252769435827E-2</v>
      </c>
      <c r="H78" s="256">
        <f>Inputs!F97</f>
        <v>2753.5483870967741</v>
      </c>
      <c r="I78" s="211">
        <f>H78/$H$74</f>
        <v>1.9313252769435827E-2</v>
      </c>
      <c r="K78" s="75"/>
    </row>
    <row r="79" spans="1:11" ht="15" customHeight="1" x14ac:dyDescent="0.35">
      <c r="B79" s="215" t="s">
        <v>204</v>
      </c>
      <c r="C79" s="216">
        <f>C76-C77-C78</f>
        <v>119133.45161290323</v>
      </c>
      <c r="D79" s="217">
        <f>C79/C74</f>
        <v>0.83559616205665332</v>
      </c>
      <c r="E79" s="218">
        <f>E76-E77-E78</f>
        <v>119133.45161290323</v>
      </c>
      <c r="F79" s="217">
        <f>E79/E74</f>
        <v>0.83559616205665332</v>
      </c>
      <c r="G79" s="219"/>
      <c r="H79" s="218">
        <f>H76-H77-H78</f>
        <v>119133.45161290323</v>
      </c>
      <c r="I79" s="217">
        <f>H79/H74</f>
        <v>0.83559616205665332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222</v>
      </c>
      <c r="C81" s="97">
        <f>MAX(Data!C19,0)</f>
        <v>77411</v>
      </c>
      <c r="D81" s="101">
        <f>C81/$C$74</f>
        <v>0.54295694135635775</v>
      </c>
      <c r="E81" s="214">
        <f>E74*F81</f>
        <v>77411</v>
      </c>
      <c r="F81" s="211">
        <f>I81</f>
        <v>0.54295694135635775</v>
      </c>
      <c r="H81" s="256">
        <f>Inputs!F94</f>
        <v>77411</v>
      </c>
      <c r="I81" s="211">
        <f>H81/$H$74</f>
        <v>0.54295694135635775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41722.451612903227</v>
      </c>
      <c r="D83" s="223">
        <f>C83/$C$74</f>
        <v>0.29263922070029547</v>
      </c>
      <c r="E83" s="224">
        <f>E79-E81-E82-E80</f>
        <v>41722.451612903227</v>
      </c>
      <c r="F83" s="223">
        <f>E83/E74</f>
        <v>0.29263922070029547</v>
      </c>
      <c r="H83" s="224">
        <f>H79-H81-H82-H80</f>
        <v>41722.451612903227</v>
      </c>
      <c r="I83" s="223">
        <f>H83/$H$74</f>
        <v>0.29263922070029547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0.22500000000000001</v>
      </c>
      <c r="E84" s="226"/>
      <c r="F84" s="227">
        <f t="shared" ref="F84" si="3">I84</f>
        <v>0.22500000000000001</v>
      </c>
      <c r="H84" s="226"/>
      <c r="I84" s="257">
        <f>Inputs!C16</f>
        <v>0.22500000000000001</v>
      </c>
      <c r="K84" s="75"/>
    </row>
    <row r="85" spans="1:11" ht="15" customHeight="1" x14ac:dyDescent="0.35">
      <c r="B85" s="228" t="s">
        <v>147</v>
      </c>
      <c r="C85" s="216">
        <f>C83*(1-I84)</f>
        <v>32334.9</v>
      </c>
      <c r="D85" s="217">
        <f>C85/$C$74</f>
        <v>0.226795396042729</v>
      </c>
      <c r="E85" s="229">
        <f>E83*(1-F84)</f>
        <v>32334.9</v>
      </c>
      <c r="F85" s="217">
        <f>E85/E74</f>
        <v>0.226795396042729</v>
      </c>
      <c r="G85" s="219"/>
      <c r="H85" s="229">
        <f>H83*(1-I84)</f>
        <v>32334.9</v>
      </c>
      <c r="I85" s="217">
        <f>H85/$H$74</f>
        <v>0.226795396042729</v>
      </c>
      <c r="K85" s="75"/>
    </row>
    <row r="86" spans="1:11" ht="15" customHeight="1" x14ac:dyDescent="0.35">
      <c r="B86" s="3" t="s">
        <v>144</v>
      </c>
      <c r="C86" s="230">
        <f>C85*Data!C4/Common_Shares</f>
        <v>3.0583157113349584</v>
      </c>
      <c r="D86" s="98"/>
      <c r="E86" s="231">
        <f>E85*Data!C4/Common_Shares</f>
        <v>3.0583157113349584</v>
      </c>
      <c r="F86" s="98"/>
      <c r="H86" s="231">
        <f>H85*Data!C4/Common_Shares</f>
        <v>3.0583157113349584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0.12559818116365332</v>
      </c>
      <c r="D87" s="98"/>
      <c r="E87" s="233">
        <f>E86*Exchange_Rate/Dashboard!G3</f>
        <v>0.12559818116365332</v>
      </c>
      <c r="F87" s="98"/>
      <c r="H87" s="233">
        <f>H86*Exchange_Rate/Dashboard!G3</f>
        <v>0.12559818116365332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1.7149999999999999</v>
      </c>
      <c r="D88" s="235">
        <f>C88/C86</f>
        <v>0.56076617389229588</v>
      </c>
      <c r="E88" s="255">
        <f>Inputs!E98</f>
        <v>1.48</v>
      </c>
      <c r="F88" s="235">
        <f>E88/E86</f>
        <v>0.48392649408781224</v>
      </c>
      <c r="H88" s="255">
        <f>Inputs!F98</f>
        <v>1.48</v>
      </c>
      <c r="I88" s="235">
        <f>H88/H86</f>
        <v>0.48392649408781224</v>
      </c>
      <c r="K88" s="75"/>
    </row>
    <row r="89" spans="1:11" ht="15" customHeight="1" x14ac:dyDescent="0.35">
      <c r="B89" s="3" t="s">
        <v>194</v>
      </c>
      <c r="C89" s="232">
        <f>C88*Exchange_Rate/Dashboard!G3</f>
        <v>7.0431211498973301E-2</v>
      </c>
      <c r="D89" s="98"/>
      <c r="E89" s="232">
        <f>E88*Exchange_Rate/Dashboard!G3</f>
        <v>6.0780287474332645E-2</v>
      </c>
      <c r="F89" s="98"/>
      <c r="H89" s="232">
        <f>H88*Exchange_Rate/Dashboard!G3</f>
        <v>6.0780287474332645E-2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89.259234293838972</v>
      </c>
      <c r="H93" s="3" t="s">
        <v>183</v>
      </c>
      <c r="I93" s="237">
        <f>FV(H87,D93,0,-(H86/(C93-D94)))*Exchange_Rate</f>
        <v>89.259234293838972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34.0722480185335</v>
      </c>
      <c r="H94" s="3" t="s">
        <v>184</v>
      </c>
      <c r="I94" s="237">
        <f>FV(H89,D93,0,-(H88/(C93-D94)))*Exchange_Rate</f>
        <v>34.0722480185335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539573.98431261838</v>
      </c>
      <c r="D97" s="244"/>
      <c r="E97" s="245">
        <f>PV(C94,D93,0,-F93)</f>
        <v>51.034256906651422</v>
      </c>
      <c r="F97" s="244"/>
      <c r="H97" s="245">
        <f>PV(C94,D93,0,-I93)</f>
        <v>51.034256906651422</v>
      </c>
      <c r="I97" s="245">
        <f>PV(C93,D93,0,-I93)</f>
        <v>66.837361926660193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43.379118370653707</v>
      </c>
      <c r="E100" s="251">
        <f>MAX(E97+H98+E99,0)</f>
        <v>51.034256906651422</v>
      </c>
      <c r="F100" s="251">
        <f>(E100+H100)/2</f>
        <v>51.034256906651422</v>
      </c>
      <c r="H100" s="251">
        <f>MAX(H97+H98+H99,0)</f>
        <v>51.034256906651422</v>
      </c>
      <c r="I100" s="251">
        <f>MAX(I97+H98+H99,0)</f>
        <v>66.837361926660193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16.55878063086023</v>
      </c>
      <c r="E103" s="245">
        <f>PV(C94,D93,0,-F94)</f>
        <v>19.480918389247329</v>
      </c>
      <c r="F103" s="251">
        <f>(E103+H103)/2</f>
        <v>19.480918389247329</v>
      </c>
      <c r="H103" s="245">
        <f>PV(C94,D93,0,-I94)</f>
        <v>19.480918389247329</v>
      </c>
      <c r="I103" s="251">
        <f>PV(C93,D93,0,-I94)</f>
        <v>25.513317366949924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29.96894950075697</v>
      </c>
      <c r="E106" s="245">
        <f>(E100+E103)/2</f>
        <v>35.257587647949379</v>
      </c>
      <c r="F106" s="251">
        <f>(F100+F103)/2</f>
        <v>35.257587647949379</v>
      </c>
      <c r="H106" s="245">
        <f>(H100+H103)/2</f>
        <v>35.257587647949379</v>
      </c>
      <c r="I106" s="245">
        <f>(I100+I103)/2</f>
        <v>46.175339646805057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