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FF761D2-2E44-438D-99BE-A4363234B87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F97" i="4" l="1"/>
  <c r="E93" i="4"/>
  <c r="F93" i="4"/>
  <c r="F94" i="4"/>
  <c r="E95" i="4"/>
  <c r="F95" i="4"/>
  <c r="F96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<sst xmlns="http://schemas.openxmlformats.org/spreadsheetml/2006/main" count="405" uniqueCount="287">
  <si>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</si>
  <si>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</si>
  <si>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</si>
  <si>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</si>
  <si>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</si>
  <si>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</si>
  <si>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</si>
  <si>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</si>
  <si>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</si>
  <si>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</si>
  <si>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</si>
  <si>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</si>
  <si>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</si>
  <si>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</si>
  <si>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</si>
  <si>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</si>
  <si>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</si>
  <si>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</si>
  <si>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</si>
  <si>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</si>
  <si>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</si>
  <si>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</si>
  <si>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</si>
  <si>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</si>
  <si>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</si>
  <si>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</si>
  <si>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</si>
  <si>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</si>
  <si>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</si>
  <si>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</si>
  <si>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</si>
  <si>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</si>
  <si>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</si>
  <si>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</si>
  <si>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</si>
  <si>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</si>
  <si>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</si>
  <si>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</si>
  <si>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</si>
  <si>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</si>
  <si>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</si>
  <si>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</si>
  <si>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</si>
  <si>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</si>
  <si>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</si>
  <si>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</si>
  <si>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</si>
  <si>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</si>
  <si>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</si>
  <si>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</si>
  <si>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</si>
  <si>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</si>
  <si>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</si>
  <si>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</si>
  <si>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</si>
  <si>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</si>
  <si>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</si>
  <si>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</si>
  <si>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</si>
  <si>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</si>
  <si>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</si>
  <si>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</si>
  <si>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</si>
  <si>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</si>
  <si>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</si>
  <si>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</si>
  <si>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</si>
  <si>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</si>
  <si>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</si>
  <si>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</si>
  <si>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</si>
  <si>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</si>
  <si>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</si>
  <si>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</si>
  <si>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</si>
  <si>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</si>
  <si>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</si>
  <si>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</si>
  <si>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</si>
  <si>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</si>
  <si>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</si>
  <si>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</si>
  <si>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</si>
  <si>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</si>
  <si>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</si>
  <si>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</si>
  <si>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</si>
  <si>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</si>
  <si>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</si>
  <si>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</si>
  <si>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</si>
  <si>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</si>
  <si>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</si>
  <si>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</si>
  <si>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</si>
  <si>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</si>
  <si>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</si>
  <si>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</si>
  <si>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</si>
  <si>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</si>
  <si>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</si>
  <si>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</si>
  <si>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</si>
  <si>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</si>
  <si>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</si>
  <si>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</si>
  <si>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</si>
  <si>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</si>
  <si>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</si>
  <si>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</si>
  <si>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</si>
  <si>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</si>
  <si>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</si>
  <si>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</si>
  <si>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</si>
  <si>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</si>
  <si>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</si>
  <si>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</si>
  <si>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</si>
  <si>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</si>
  <si>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</si>
  <si>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</si>
  <si>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</si>
  <si>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</si>
  <si>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</si>
  <si>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</si>
  <si>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</si>
  <si>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</si>
  <si>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</si>
  <si>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</si>
  <si>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</si>
  <si>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</si>
  <si>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</si>
  <si>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</si>
  <si>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</si>
  <si>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</si>
  <si>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</si>
  <si>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</si>
  <si>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</si>
  <si>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</si>
  <si>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</si>
  <si>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</si>
  <si>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</si>
  <si>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</si>
  <si>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</si>
  <si>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</si>
  <si>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</si>
  <si>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</si>
  <si>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</si>
  <si>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</si>
  <si>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</si>
  <si>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</si>
  <si>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</si>
  <si>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</si>
  <si>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</si>
  <si>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</si>
  <si>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</si>
  <si>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</si>
  <si>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</si>
  <si>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</si>
  <si>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</si>
  <si>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</si>
  <si>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</si>
  <si>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</si>
  <si>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</si>
  <si>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</si>
  <si>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</si>
  <si>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</si>
  <si>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</si>
  <si>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</si>
  <si>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</si>
  <si>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</si>
  <si>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</si>
  <si>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</si>
  <si>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</si>
  <si>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</si>
  <si>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</si>
  <si>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</si>
  <si>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</si>
  <si>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</si>
  <si>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</si>
  <si>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</si>
  <si>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</si>
  <si>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</si>
  <si>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</si>
  <si>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</si>
  <si>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</si>
  <si>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</si>
  <si>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</si>
  <si>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</si>
  <si>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</si>
  <si>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</si>
  <si>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</si>
  <si>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</si>
  <si>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</si>
  <si>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</si>
  <si>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</si>
  <si>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</si>
  <si>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</si>
  <si>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</si>
  <si>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</si>
  <si>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</si>
  <si>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</si>
  <si>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</si>
  <si>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</si>
  <si>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</si>
  <si>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</si>
  <si>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</si>
  <si>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</si>
  <si>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</si>
  <si>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</si>
  <si>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</si>
  <si>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</si>
  <si>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</si>
  <si>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</si>
  <si>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</si>
  <si>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</si>
  <si>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</si>
  <si>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</si>
  <si>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</si>
  <si>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</si>
  <si>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</si>
  <si>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</si>
  <si>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</si>
  <si>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</si>
  <si>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</si>
  <si>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</si>
  <si>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</si>
  <si>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</si>
  <si>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</si>
  <si>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</si>
  <si>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</si>
  <si>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</si>
  <si>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</si>
  <si>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</si>
  <si>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</si>
  <si>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</si>
  <si>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</si>
  <si>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</si>
  <si>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</si>
  <si>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</si>
  <si>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</si>
  <si>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</si>
  <si>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</si>
  <si>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</si>
  <si>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</si>
  <si>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</si>
  <si>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</si>
  <si>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</si>
  <si>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</si>
  <si>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</si>
  <si>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</si>
  <si>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</si>
  <si>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</si>
  <si>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</si>
  <si>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</si>
  <si>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</si>
  <si>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</si>
  <si>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</si>
  <si>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</si>
  <si>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</si>
  <si>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</si>
  <si>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</si>
  <si>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</si>
  <si>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</si>
  <si>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</si>
  <si>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</si>
  <si>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</si>
  <si>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</si>
  <si>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</si>
  <si>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</si>
  <si>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</si>
  <si>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</si>
  <si>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</si>
  <si>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C0003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</si>
  <si>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</si>
  <si>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</si>
  <si>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</si>
  <si>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</si>
  <si>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</si>
  <si>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</si>
  <si>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</si>
  <si>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Unclear</t>
  </si>
  <si>
    <t>6181.HK</t>
  </si>
  <si>
    <t>老鋪黃金</t>
  </si>
  <si>
    <t>CNY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</si>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</sst>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283</v>
      </c>
      <c r="D4" s="66"/>
    </row>
    <row r="5" spans="1:5" x14ac:dyDescent="0.35">
      <c r="B5" s="46" t="s">
        <v>168</v>
      </c>
      <c r="C5" s="67" t="s">
        <v>284</v>
      </c>
    </row>
    <row r="6" spans="1:5" x14ac:dyDescent="0.35">
      <c r="B6" s="46" t="s">
        <v>268</v>
      </c>
      <c r="C6" s="68">
        <v>45593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274</v>
      </c>
    </row>
    <row r="10" spans="1:5" x14ac:dyDescent="0.35">
      <c r="B10" s="39" t="s">
        <v>190</v>
      </c>
      <c r="C10" s="70">
        <v>168366700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164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282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3179564</v>
      </c>
      <c r="D25" s="77">
        <v>1294220</v>
      </c>
      <c r="E25" s="77">
        <v>1264603</v>
      </c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1847607</v>
      </c>
      <c r="D26" s="78">
        <v>752082</v>
      </c>
      <c r="E26" s="78">
        <v>743602</v>
      </c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746918</v>
      </c>
      <c r="D27" s="78">
        <v>391294</v>
      </c>
      <c r="E27" s="78">
        <v>351556</v>
      </c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>
        <v>10720</v>
      </c>
      <c r="D28" s="78">
        <v>8525</v>
      </c>
      <c r="E28" s="78">
        <v>8411</v>
      </c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18182</v>
      </c>
      <c r="D29" s="78">
        <v>16973</v>
      </c>
      <c r="E29" s="78">
        <v>11671</v>
      </c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0</v>
      </c>
      <c r="E30" s="302">
        <v>0</v>
      </c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0</v>
      </c>
      <c r="D31" s="78">
        <v>0</v>
      </c>
      <c r="E31" s="78">
        <v>0</v>
      </c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 t="str">
        <f>IF(C44="","",C44*Exchange_Rate/Dashboard!$G$3)</f>
        <v/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286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3179564</v>
      </c>
      <c r="D91" s="98"/>
      <c r="E91" s="99">
        <f>C91</f>
        <v>3179564</v>
      </c>
      <c r="F91" s="99">
        <f>C91</f>
        <v>3179564</v>
      </c>
    </row>
    <row r="92" spans="2:8" x14ac:dyDescent="0.35">
      <c r="B92" s="100" t="s">
        <v>97</v>
      </c>
      <c r="C92" s="97">
        <f>C26</f>
        <v>1847607</v>
      </c>
      <c r="D92" s="101">
        <f>C92/C91</f>
        <v>0.58108816177312361</v>
      </c>
      <c r="E92" s="102">
        <f>E91*D92</f>
        <v>1847607</v>
      </c>
      <c r="F92" s="102">
        <f>F91*D92</f>
        <v>1847607</v>
      </c>
    </row>
    <row r="93" spans="2:8" x14ac:dyDescent="0.35">
      <c r="B93" s="100" t="s">
        <v>216</v>
      </c>
      <c r="C93" s="97">
        <f>C27+C28</f>
        <v>757638</v>
      </c>
      <c r="D93" s="101">
        <f>C93/C91</f>
        <v>0.23828361372817153</v>
      </c>
      <c r="E93" s="102">
        <f>E91*D93</f>
        <v>757638</v>
      </c>
      <c r="F93" s="102">
        <f>F91*D93</f>
        <v>757638</v>
      </c>
    </row>
    <row r="94" spans="2:8" x14ac:dyDescent="0.35">
      <c r="B94" s="100" t="s">
        <v>222</v>
      </c>
      <c r="C94" s="97">
        <f>C29</f>
        <v>18182</v>
      </c>
      <c r="D94" s="101">
        <f>C94/C91</f>
        <v>5.7183940942846252E-3</v>
      </c>
      <c r="E94" s="103"/>
      <c r="F94" s="102">
        <f>F91*D94</f>
        <v>18182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</v>
      </c>
      <c r="D98" s="105"/>
      <c r="E98" s="106">
        <f>F98</f>
        <v>0</v>
      </c>
      <c r="F98" s="106">
        <f>C98</f>
        <v>0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6181.HK : 老鋪黃金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6181.HK</v>
      </c>
      <c r="D3" s="313"/>
      <c r="E3" s="3"/>
      <c r="F3" s="9" t="s">
        <v>1</v>
      </c>
      <c r="G3" s="10">
        <v>296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老鋪黃金</v>
      </c>
      <c r="D4" s="315"/>
      <c r="E4" s="3"/>
      <c r="F4" s="9" t="s">
        <v>2</v>
      </c>
      <c r="G4" s="318">
        <f>Inputs!C10</f>
        <v>168366700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45593</v>
      </c>
      <c r="D5" s="317"/>
      <c r="E5" s="16"/>
      <c r="F5" s="12" t="s">
        <v>91</v>
      </c>
      <c r="G5" s="321">
        <f>G3*G4/1000000</f>
        <v>49836.5432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C0003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HK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0.18062822449870486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5.7183940942846252E-3</v>
      </c>
      <c r="F24" s="39" t="s">
        <v>224</v>
      </c>
      <c r="G24" s="43">
        <f>G3/(Fin_Analysis!H86*G7)</f>
        <v>112.56596181978627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20">
        <f>IF(Fin_Analysis!C108="Profit",Fin_Analysis!I100,IF(Fin_Analysis!C108="Dividend",Fin_Analysis!I103,Fin_Analysis!I106))</f>
        <v>0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574319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3179564</v>
      </c>
      <c r="D6" s="142">
        <f>IF(Inputs!D25="","",Inputs!D25)</f>
        <v>1294220</v>
      </c>
      <c r="E6" s="142">
        <f>IF(Inputs!E25="","",Inputs!E25)</f>
        <v>1264603</v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1.4567415122622118</v>
      </c>
      <c r="D7" s="143">
        <f t="shared" si="1"/>
        <v>2.3419998212877768E-2</v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1847607</v>
      </c>
      <c r="D8" s="144">
        <f>IF(Inputs!D26="","",Inputs!D26)</f>
        <v>752082</v>
      </c>
      <c r="E8" s="144">
        <f>IF(Inputs!E26="","",Inputs!E26)</f>
        <v>743602</v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1331957</v>
      </c>
      <c r="D9" s="273">
        <f t="shared" si="2"/>
        <v>542138</v>
      </c>
      <c r="E9" s="273">
        <f t="shared" si="2"/>
        <v>521001</v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746918</v>
      </c>
      <c r="D10" s="144">
        <f>IF(Inputs!D27="","",Inputs!D27)</f>
        <v>391294</v>
      </c>
      <c r="E10" s="144">
        <f>IF(Inputs!E27="","",Inputs!E27)</f>
        <v>351556</v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>
        <f>IF(Inputs!C28="","",Inputs!C28)</f>
        <v>10720</v>
      </c>
      <c r="D11" s="144">
        <f>IF(Inputs!D28="","",Inputs!D28)</f>
        <v>8525</v>
      </c>
      <c r="E11" s="144">
        <f>IF(Inputs!E28="","",Inputs!E28)</f>
        <v>8411</v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0</v>
      </c>
      <c r="D12" s="144">
        <f>IF(Inputs!D31="","",MAX(Inputs!D31,0)/(1-Fin_Analysis!$I$84))</f>
        <v>0</v>
      </c>
      <c r="E12" s="144">
        <f>IF(Inputs!E31="","",MAX(Inputs!E31,0)/(1-Fin_Analysis!$I$84))</f>
        <v>0</v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0.18062822449870486</v>
      </c>
      <c r="D13" s="292">
        <f t="shared" si="3"/>
        <v>0.10996507548948402</v>
      </c>
      <c r="E13" s="292">
        <f t="shared" si="3"/>
        <v>0.12733956822813167</v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574319</v>
      </c>
      <c r="D14" s="294">
        <f t="shared" ref="D14:M14" si="4">IF(D6="","",D9-D10-MAX(D11,0)-MAX(D12,0))</f>
        <v>142319</v>
      </c>
      <c r="E14" s="294">
        <f t="shared" si="4"/>
        <v>161034</v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3.0354344816925356</v>
      </c>
      <c r="D15" s="296">
        <f t="shared" ref="D15:M15" si="5">IF(E14="","",IF(ABS(D14+E14)=ABS(D14)+ABS(E14),IF(D14&lt;0,-1,1)*(D14-E14)/E14,"Turn"))</f>
        <v>-0.11621769315796664</v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-142319</v>
      </c>
      <c r="E16" s="147">
        <f t="shared" si="6"/>
        <v>-161034</v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0</v>
      </c>
      <c r="E17" s="307">
        <f>IF(Inputs!E30="","",Inputs!E30)</f>
        <v>0</v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18182</v>
      </c>
      <c r="D19" s="144">
        <f>IF(Inputs!D29="","",Inputs!D29)</f>
        <v>16973</v>
      </c>
      <c r="E19" s="144">
        <f>IF(Inputs!E29="","",Inputs!E29)</f>
        <v>11671</v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556137</v>
      </c>
      <c r="D24" s="309">
        <f t="shared" si="9"/>
        <v>125346</v>
      </c>
      <c r="E24" s="309">
        <f t="shared" si="9"/>
        <v>149363</v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0.13118237280331518</v>
      </c>
      <c r="D25" s="143">
        <f t="shared" si="10"/>
        <v>7.2637959543199765E-2</v>
      </c>
      <c r="E25" s="143">
        <f t="shared" si="10"/>
        <v>8.8582938677197506E-2</v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417102.75</v>
      </c>
      <c r="D26" s="276">
        <f>IF(D6="","",D24*(1-Fin_Analysis!$I$84))</f>
        <v>94009.5</v>
      </c>
      <c r="E26" s="276">
        <f>IF(E6="","",E24*(1-Fin_Analysis!$I$84))</f>
        <v>112022.25</v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3.4368148963668563</v>
      </c>
      <c r="D27" s="305">
        <f t="shared" si="11"/>
        <v>-0.16079618111580513</v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0.58108816177312361</v>
      </c>
      <c r="D42" s="150">
        <f t="shared" si="35"/>
        <v>0.58110831234256932</v>
      </c>
      <c r="E42" s="150">
        <f t="shared" si="35"/>
        <v>0.58801220620226269</v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0.23828361372817153</v>
      </c>
      <c r="D43" s="146">
        <f t="shared" si="36"/>
        <v>0.3089266121679467</v>
      </c>
      <c r="E43" s="146">
        <f t="shared" si="36"/>
        <v>0.28464822556960562</v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5.7183940942846252E-3</v>
      </c>
      <c r="D45" s="146">
        <f t="shared" si="38"/>
        <v>1.311446276521766E-2</v>
      </c>
      <c r="E45" s="146">
        <f t="shared" si="38"/>
        <v>9.2289833252016638E-3</v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>
        <f t="shared" si="39"/>
        <v>0</v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0.17490983040442024</v>
      </c>
      <c r="D48" s="281">
        <f t="shared" si="41"/>
        <v>9.6850612724266358E-2</v>
      </c>
      <c r="E48" s="281">
        <f t="shared" si="41"/>
        <v>0.11811058490293001</v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e">
        <f t="shared" si="42"/>
        <v>#VALUE!</v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3.2693383105242051E-2</v>
      </c>
      <c r="D57" s="146">
        <f t="shared" si="48"/>
        <v>0.13540918736936161</v>
      </c>
      <c r="E57" s="146">
        <f t="shared" si="48"/>
        <v>7.8138494807951098E-2</v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e">
        <f t="shared" si="50"/>
        <v>#VALUE!</v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e">
        <f t="shared" si="51"/>
        <v>#VALUE!</v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3179564</v>
      </c>
      <c r="D74" s="98"/>
      <c r="E74" s="256">
        <f>Inputs!E91</f>
        <v>3179564</v>
      </c>
      <c r="F74" s="98"/>
      <c r="H74" s="256">
        <f>Inputs!F91</f>
        <v>3179564</v>
      </c>
      <c r="I74" s="98"/>
      <c r="K74" s="75"/>
    </row>
    <row r="75" spans="1:11" ht="15" customHeight="1" x14ac:dyDescent="0.35">
      <c r="B75" s="100" t="s">
        <v>97</v>
      </c>
      <c r="C75" s="97">
        <f>Data!C8</f>
        <v>1847607</v>
      </c>
      <c r="D75" s="101">
        <f>C75/$C$74</f>
        <v>0.58108816177312361</v>
      </c>
      <c r="E75" s="256">
        <f>Inputs!E92</f>
        <v>1847607</v>
      </c>
      <c r="F75" s="211">
        <f>E75/E74</f>
        <v>0.58108816177312361</v>
      </c>
      <c r="H75" s="256">
        <f>Inputs!F92</f>
        <v>1847607</v>
      </c>
      <c r="I75" s="211">
        <f>H75/$H$74</f>
        <v>0.58108816177312361</v>
      </c>
      <c r="K75" s="75"/>
    </row>
    <row r="76" spans="1:11" ht="15" customHeight="1" x14ac:dyDescent="0.35">
      <c r="B76" s="12" t="s">
        <v>87</v>
      </c>
      <c r="C76" s="145">
        <f>C74-C75</f>
        <v>1331957</v>
      </c>
      <c r="D76" s="212"/>
      <c r="E76" s="213">
        <f>E74-E75</f>
        <v>1331957</v>
      </c>
      <c r="F76" s="212"/>
      <c r="H76" s="213">
        <f>H74-H75</f>
        <v>1331957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757638</v>
      </c>
      <c r="D77" s="101">
        <f>C77/$C$74</f>
        <v>0.23828361372817153</v>
      </c>
      <c r="E77" s="256">
        <f>Inputs!E93</f>
        <v>757638</v>
      </c>
      <c r="F77" s="211">
        <f>E77/E74</f>
        <v>0.23828361372817153</v>
      </c>
      <c r="H77" s="256">
        <f>Inputs!F93</f>
        <v>757638</v>
      </c>
      <c r="I77" s="211">
        <f>H77/$H$74</f>
        <v>0.23828361372817153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574319</v>
      </c>
      <c r="D79" s="217">
        <f>C79/C74</f>
        <v>0.18062822449870486</v>
      </c>
      <c r="E79" s="218">
        <f>E76-E77-E78</f>
        <v>574319</v>
      </c>
      <c r="F79" s="217">
        <f>E79/E74</f>
        <v>0.18062822449870486</v>
      </c>
      <c r="G79" s="219"/>
      <c r="H79" s="218">
        <f>H76-H77-H78</f>
        <v>574319</v>
      </c>
      <c r="I79" s="217">
        <f>H79/H74</f>
        <v>0.18062822449870486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18182</v>
      </c>
      <c r="D81" s="101">
        <f>C81/$C$74</f>
        <v>5.7183940942846252E-3</v>
      </c>
      <c r="E81" s="214">
        <f>E74*F81</f>
        <v>18182</v>
      </c>
      <c r="F81" s="211">
        <f>I81</f>
        <v>5.7183940942846252E-3</v>
      </c>
      <c r="H81" s="256">
        <f>Inputs!F94</f>
        <v>18182</v>
      </c>
      <c r="I81" s="211">
        <f>H81/$H$74</f>
        <v>5.7183940942846252E-3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556137</v>
      </c>
      <c r="D83" s="223">
        <f>C83/$C$74</f>
        <v>0.17490983040442024</v>
      </c>
      <c r="E83" s="224">
        <f>E79-E81-E82-E80</f>
        <v>556137</v>
      </c>
      <c r="F83" s="223">
        <f>E83/E74</f>
        <v>0.17490983040442024</v>
      </c>
      <c r="H83" s="224">
        <f>H79-H81-H82-H80</f>
        <v>556137</v>
      </c>
      <c r="I83" s="223">
        <f>H83/$H$74</f>
        <v>0.17490983040442024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417102.75</v>
      </c>
      <c r="D85" s="217">
        <f>C85/$C$74</f>
        <v>0.13118237280331518</v>
      </c>
      <c r="E85" s="229">
        <f>E83*(1-F84)</f>
        <v>417102.75</v>
      </c>
      <c r="F85" s="217">
        <f>E85/E74</f>
        <v>0.13118237280331518</v>
      </c>
      <c r="G85" s="219"/>
      <c r="H85" s="229">
        <f>H83*(1-I84)</f>
        <v>417102.75</v>
      </c>
      <c r="I85" s="217">
        <f>H85/$H$74</f>
        <v>0.13118237280331518</v>
      </c>
      <c r="K85" s="75"/>
    </row>
    <row r="86" spans="1:11" ht="15" customHeight="1" x14ac:dyDescent="0.35">
      <c r="B86" s="3" t="s">
        <v>143</v>
      </c>
      <c r="C86" s="230">
        <f>C85*Data!C4/Common_Shares</f>
        <v>2.4773470644729629</v>
      </c>
      <c r="D86" s="98"/>
      <c r="E86" s="231">
        <f>E85*Data!C4/Common_Shares</f>
        <v>2.4773470644729629</v>
      </c>
      <c r="F86" s="98"/>
      <c r="H86" s="231">
        <f>H85*Data!C4/Common_Shares</f>
        <v>2.4773470644729629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8.8836801448111038E-3</v>
      </c>
      <c r="D87" s="98"/>
      <c r="E87" s="233">
        <f>E86*Exchange_Rate/Dashboard!G3</f>
        <v>8.8836801448111038E-3</v>
      </c>
      <c r="F87" s="98"/>
      <c r="H87" s="233">
        <f>H86*Exchange_Rate/Dashboard!G3</f>
        <v>8.8836801448111038E-3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</v>
      </c>
      <c r="D88" s="235">
        <f>C88/C86</f>
        <v>0</v>
      </c>
      <c r="E88" s="255">
        <f>Inputs!E98</f>
        <v>0</v>
      </c>
      <c r="F88" s="235">
        <f>E88/E86</f>
        <v>0</v>
      </c>
      <c r="H88" s="255">
        <f>Inputs!F98</f>
        <v>0</v>
      </c>
      <c r="I88" s="235">
        <f>H88/H86</f>
        <v>0</v>
      </c>
      <c r="K88" s="75"/>
    </row>
    <row r="89" spans="1:11" ht="15" customHeight="1" x14ac:dyDescent="0.35">
      <c r="B89" s="3" t="s">
        <v>193</v>
      </c>
      <c r="C89" s="232">
        <f>C88*Exchange_Rate/Dashboard!G3</f>
        <v>0</v>
      </c>
      <c r="D89" s="98"/>
      <c r="E89" s="232">
        <f>E88*Exchange_Rate/Dashboard!G3</f>
        <v>0</v>
      </c>
      <c r="F89" s="98"/>
      <c r="H89" s="232">
        <f>H88*Exchange_Rate/Dashboard!G3</f>
        <v>0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HK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182</v>
      </c>
      <c r="F93" s="237">
        <f>FV(E87,D93,0,-(E86/(C93-D94)))*Exchange_Rate</f>
        <v>49.532052269090435</v>
      </c>
      <c r="H93" s="3" t="s">
        <v>182</v>
      </c>
      <c r="I93" s="237">
        <f>FV(H87,D93,0,-(H86/(C93-D94)))*Exchange_Rate</f>
        <v>49.532052269090435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0</v>
      </c>
      <c r="H94" s="3" t="s">
        <v>183</v>
      </c>
      <c r="I94" s="237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4768163.7414241778</v>
      </c>
      <c r="D97" s="244"/>
      <c r="E97" s="245">
        <f>PV(C94,D93,0,-F93)</f>
        <v>28.32011164573623</v>
      </c>
      <c r="F97" s="244"/>
      <c r="H97" s="245">
        <f>PV(C94,D93,0,-I93)</f>
        <v>28.32011164573623</v>
      </c>
      <c r="I97" s="245">
        <f>PV(C93,D93,0,-I93)</f>
        <v>37.08962698000601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24.072094898875793</v>
      </c>
      <c r="E100" s="251">
        <f>MAX(E97+H98+E99,0)</f>
        <v>28.32011164573623</v>
      </c>
      <c r="F100" s="251">
        <f>(E100+H100)/2</f>
        <v>28.32011164573623</v>
      </c>
      <c r="H100" s="251">
        <f>MAX(H97+H98+H99,0)</f>
        <v>28.32011164573623</v>
      </c>
      <c r="I100" s="251">
        <f>MAX(I97+H98+H99,0)</f>
        <v>37.08962698000601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0</v>
      </c>
      <c r="E103" s="245">
        <f>PV(C94,D93,0,-F94)</f>
        <v>0</v>
      </c>
      <c r="F103" s="251">
        <f>(E103+H103)/2</f>
        <v>0</v>
      </c>
      <c r="H103" s="245">
        <f>PV(C94,D93,0,-I94)</f>
        <v>0</v>
      </c>
      <c r="I103" s="251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12.036047449437897</v>
      </c>
      <c r="E106" s="245">
        <f>(E100+E103)/2</f>
        <v>14.160055822868115</v>
      </c>
      <c r="F106" s="251">
        <f>(F100+F103)/2</f>
        <v>14.160055822868115</v>
      </c>
      <c r="H106" s="245">
        <f>(H100+H103)/2</f>
        <v>14.160055822868115</v>
      </c>
      <c r="I106" s="245">
        <f>(I100+I103)/2</f>
        <v>18.544813490003005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