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8BE8E19-D287-4629-A7C3-31385A22D99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5" i="4" l="1"/>
  <c r="F96" i="4"/>
  <c r="E92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61" i="2"/>
  <c r="D52" i="3"/>
  <c r="C98" i="3"/>
  <c r="D6" i="3"/>
  <c r="D53" i="3"/>
  <c r="C59" i="2" l="1"/>
  <c r="D7" i="3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<sst xmlns="http://schemas.openxmlformats.org/spreadsheetml/2006/main" count="405" uniqueCount="290">
  <si>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</si>
  <si>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</si>
  <si>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</si>
  <si>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</si>
  <si>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</si>
  <si>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</si>
  <si>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</si>
  <si>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</si>
  <si>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</si>
  <si>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</si>
  <si>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</si>
  <si>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</si>
  <si>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</si>
  <si>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</si>
  <si>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</si>
  <si>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</si>
  <si>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</si>
  <si>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</si>
  <si>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</si>
  <si>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</si>
  <si>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</si>
  <si>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</si>
  <si>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</si>
  <si>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</si>
  <si>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</si>
  <si>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</si>
  <si>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</si>
  <si>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</si>
  <si>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</si>
  <si>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</si>
  <si>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</si>
  <si>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</si>
  <si>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</si>
  <si>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</si>
  <si>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</si>
  <si>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</si>
  <si>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</si>
  <si>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</si>
  <si>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</si>
  <si>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</si>
  <si>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</si>
  <si>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</si>
  <si>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</si>
  <si>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</si>
  <si>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</si>
  <si>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</si>
  <si>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</si>
  <si>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</si>
  <si>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</si>
  <si>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</si>
  <si>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</si>
  <si>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</si>
  <si>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</si>
  <si>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</si>
  <si>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</si>
  <si>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</si>
  <si>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</si>
  <si>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</si>
  <si>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</si>
  <si>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</si>
  <si>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</si>
  <si>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</si>
  <si>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</si>
  <si>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</si>
  <si>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</si>
  <si>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</si>
  <si>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</si>
  <si>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</si>
  <si>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</si>
  <si>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</si>
  <si>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</si>
  <si>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</si>
  <si>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</si>
  <si>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</si>
  <si>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</si>
  <si>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</si>
  <si>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</si>
  <si>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</si>
  <si>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</si>
  <si>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</si>
  <si>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</si>
  <si>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</si>
  <si>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</si>
  <si>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</si>
  <si>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</si>
  <si>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</si>
  <si>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</si>
  <si>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</si>
  <si>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</si>
  <si>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</si>
  <si>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</si>
  <si>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</si>
  <si>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</si>
  <si>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</si>
  <si>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</si>
  <si>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</si>
  <si>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</si>
  <si>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</si>
  <si>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</si>
  <si>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</si>
  <si>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</si>
  <si>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</si>
  <si>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</si>
  <si>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</si>
  <si>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</si>
  <si>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</si>
  <si>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</si>
  <si>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</si>
  <si>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</si>
  <si>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</si>
  <si>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</si>
  <si>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</si>
  <si>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</si>
  <si>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</si>
  <si>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</si>
  <si>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</si>
  <si>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</si>
  <si>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</si>
  <si>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</si>
  <si>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</si>
  <si>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</si>
  <si>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</si>
  <si>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</si>
  <si>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</si>
  <si>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</si>
  <si>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</si>
  <si>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</si>
  <si>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</si>
  <si>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</si>
  <si>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</si>
  <si>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</si>
  <si>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</si>
  <si>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</si>
  <si>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</si>
  <si>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</si>
  <si>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</si>
  <si>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</si>
  <si>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</si>
  <si>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</si>
  <si>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</si>
  <si>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</si>
  <si>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</si>
  <si>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</si>
  <si>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</si>
  <si>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</si>
  <si>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</si>
  <si>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</si>
  <si>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</si>
  <si>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</si>
  <si>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</si>
  <si>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</si>
  <si>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</si>
  <si>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</si>
  <si>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</si>
  <si>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</si>
  <si>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</si>
  <si>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</si>
  <si>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</si>
  <si>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</si>
  <si>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</si>
  <si>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</si>
  <si>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</si>
  <si>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</si>
  <si>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</si>
  <si>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</si>
  <si>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</si>
  <si>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</si>
  <si>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</si>
  <si>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</si>
  <si>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</si>
  <si>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</si>
  <si>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</si>
  <si>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</si>
  <si>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</si>
  <si>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</si>
  <si>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</si>
  <si>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</si>
  <si>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</si>
  <si>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</si>
  <si>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</si>
  <si>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</si>
  <si>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</si>
  <si>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</si>
  <si>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</si>
  <si>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</si>
  <si>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</si>
  <si>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</si>
  <si>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</si>
  <si>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</si>
  <si>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</si>
  <si>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</si>
  <si>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</si>
  <si>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</si>
  <si>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</si>
  <si>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</si>
  <si>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</si>
  <si>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</si>
  <si>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</si>
  <si>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</si>
  <si>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</si>
  <si>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</si>
  <si>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</si>
  <si>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</si>
  <si>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</si>
  <si>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</si>
  <si>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</si>
  <si>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</si>
  <si>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</si>
  <si>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</si>
  <si>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</si>
  <si>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</si>
  <si>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</si>
  <si>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</si>
  <si>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</si>
  <si>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</si>
  <si>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</si>
  <si>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</si>
  <si>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</si>
  <si>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</si>
  <si>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</si>
  <si>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</si>
  <si>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</si>
  <si>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</si>
  <si>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</si>
  <si>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</si>
  <si>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</si>
  <si>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</si>
  <si>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</si>
  <si>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</si>
  <si>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</si>
  <si>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</si>
  <si>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</si>
  <si>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</si>
  <si>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</si>
  <si>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</si>
  <si>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</si>
  <si>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</si>
  <si>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</si>
  <si>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</si>
  <si>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</si>
  <si>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</si>
  <si>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</si>
  <si>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</si>
  <si>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</si>
  <si>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</si>
  <si>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</si>
  <si>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</si>
  <si>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</si>
  <si>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</si>
  <si>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</si>
  <si>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</si>
  <si>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</si>
  <si>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</si>
  <si>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</si>
  <si>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</si>
  <si>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</si>
  <si>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</si>
  <si>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</si>
  <si>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</si>
  <si>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</si>
  <si>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</si>
  <si>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</si>
  <si>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</si>
  <si>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</si>
  <si>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</si>
  <si>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</si>
  <si>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</si>
  <si>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</si>
  <si>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</si>
  <si>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</si>
  <si>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</si>
  <si>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</si>
  <si>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</si>
  <si>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</si>
  <si>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</si>
  <si>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</si>
  <si>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</si>
  <si>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</si>
  <si>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</si>
  <si>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</si>
  <si>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</si>
  <si>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</si>
  <si>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</si>
  <si>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</si>
  <si>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6186.HK</t>
  </si>
  <si>
    <t>中国飞鹤</t>
  </si>
  <si>
    <t>C0002</t>
  </si>
  <si>
    <t>CNY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</si>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</sst>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45605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9067251704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289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19532203</v>
      </c>
      <c r="D25" s="77">
        <v>21310933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6868850</v>
      </c>
      <c r="D26" s="78">
        <v>7360333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8571978</v>
      </c>
      <c r="D27" s="78">
        <v>8215637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53132</v>
      </c>
      <c r="D29" s="78">
        <v>33640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6058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-99657</v>
      </c>
      <c r="D31" s="78">
        <v>6058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-337926</v>
      </c>
      <c r="D32" s="78">
        <v>827860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630037</v>
      </c>
      <c r="D33" s="78">
        <v>543737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630037</v>
      </c>
      <c r="D34" s="78">
        <v>543737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>
        <v>431184</v>
      </c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>
        <v>2258059</v>
      </c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8565478</v>
      </c>
      <c r="D37" s="78">
        <v>7382230</v>
      </c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>
        <v>2478102</v>
      </c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592316</v>
      </c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1044096</v>
      </c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27043707</v>
      </c>
      <c r="D41" s="302">
        <v>26334346</v>
      </c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1426434</v>
      </c>
      <c r="D42" s="78">
        <v>1389487</v>
      </c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>
        <v>19968596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0.1484+0.1632</f>
        <v>0.31159999999999999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6.4852249373018353E-2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19073030</v>
      </c>
      <c r="D48" s="109">
        <v>0.9</v>
      </c>
      <c r="E48" s="260"/>
    </row>
    <row r="49" spans="2:5" x14ac:dyDescent="0.35">
      <c r="B49" s="2" t="s">
        <v>123</v>
      </c>
      <c r="C49" s="86">
        <v>20972</v>
      </c>
      <c r="D49" s="109">
        <v>0.8</v>
      </c>
      <c r="E49" s="260"/>
    </row>
    <row r="50" spans="2:5" x14ac:dyDescent="0.35">
      <c r="B50" s="9" t="s">
        <v>105</v>
      </c>
      <c r="C50" s="86">
        <v>308472</v>
      </c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>
        <v>854264</v>
      </c>
      <c r="D54" s="109">
        <v>0.1</v>
      </c>
      <c r="E54" s="260"/>
    </row>
    <row r="55" spans="2:5" x14ac:dyDescent="0.35">
      <c r="B55" s="9" t="s">
        <v>39</v>
      </c>
      <c r="C55" s="86">
        <v>2139247</v>
      </c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>
        <v>300000</v>
      </c>
      <c r="D60" s="109">
        <f>D49</f>
        <v>0.8</v>
      </c>
      <c r="E60" s="260"/>
    </row>
    <row r="61" spans="2:5" x14ac:dyDescent="0.35">
      <c r="B61" s="9" t="s">
        <v>55</v>
      </c>
      <c r="C61" s="86">
        <v>1800</v>
      </c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>
        <v>113569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45190</v>
      </c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9938000</v>
      </c>
      <c r="D68" s="109">
        <f>D65</f>
        <v>0.1</v>
      </c>
      <c r="E68" s="260"/>
    </row>
    <row r="69" spans="2:5" x14ac:dyDescent="0.35">
      <c r="B69" s="9" t="s">
        <v>65</v>
      </c>
      <c r="C69" s="86">
        <v>2304520</v>
      </c>
      <c r="D69" s="109">
        <f>D70</f>
        <v>0.05</v>
      </c>
      <c r="E69" s="260"/>
    </row>
    <row r="70" spans="2:5" x14ac:dyDescent="0.35">
      <c r="B70" s="9" t="s">
        <v>66</v>
      </c>
      <c r="C70" s="86">
        <v>15244</v>
      </c>
      <c r="D70" s="109">
        <v>0.05</v>
      </c>
      <c r="E70" s="260"/>
    </row>
    <row r="71" spans="2:5" x14ac:dyDescent="0.35">
      <c r="B71" s="9" t="s">
        <v>67</v>
      </c>
      <c r="C71" s="86">
        <v>382475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112402</v>
      </c>
      <c r="D72" s="111">
        <v>0</v>
      </c>
      <c r="E72" s="262"/>
    </row>
    <row r="73" spans="2:5" x14ac:dyDescent="0.35">
      <c r="B73" s="9" t="s">
        <v>31</v>
      </c>
      <c r="C73" s="86">
        <v>510909</v>
      </c>
    </row>
    <row r="74" spans="2:5" x14ac:dyDescent="0.35">
      <c r="B74" s="9" t="s">
        <v>32</v>
      </c>
      <c r="C74" s="86">
        <v>28807</v>
      </c>
    </row>
    <row r="75" spans="2:5" x14ac:dyDescent="0.35">
      <c r="B75" s="9" t="s">
        <v>33</v>
      </c>
      <c r="C75" s="86">
        <v>0</v>
      </c>
    </row>
    <row r="76" spans="2:5" x14ac:dyDescent="0.35">
      <c r="B76" s="8" t="s">
        <v>35</v>
      </c>
      <c r="C76" s="88">
        <v>9668</v>
      </c>
    </row>
    <row r="77" spans="2:5" ht="12" thickBot="1" x14ac:dyDescent="0.4">
      <c r="B77" s="91" t="s">
        <v>15</v>
      </c>
      <c r="C77" s="92">
        <v>6712617</v>
      </c>
    </row>
    <row r="78" spans="2:5" ht="12" thickTop="1" x14ac:dyDescent="0.35">
      <c r="B78" s="9" t="s">
        <v>54</v>
      </c>
      <c r="C78" s="86">
        <v>756896</v>
      </c>
    </row>
    <row r="79" spans="2:5" x14ac:dyDescent="0.35">
      <c r="B79" s="9" t="s">
        <v>56</v>
      </c>
      <c r="C79" s="86">
        <v>52067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>
        <v>1852861</v>
      </c>
    </row>
    <row r="83" spans="2:8" hidden="1" x14ac:dyDescent="0.35">
      <c r="B83" s="300" t="s">
        <v>246</v>
      </c>
      <c r="C83" s="79">
        <v>25617273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19532203</v>
      </c>
      <c r="D91" s="98"/>
      <c r="E91" s="99">
        <f>C91</f>
        <v>19532203</v>
      </c>
      <c r="F91" s="99">
        <f>C91</f>
        <v>19532203</v>
      </c>
    </row>
    <row r="92" spans="2:8" x14ac:dyDescent="0.35">
      <c r="B92" s="100" t="s">
        <v>97</v>
      </c>
      <c r="C92" s="97">
        <f>C26</f>
        <v>6868850</v>
      </c>
      <c r="D92" s="101">
        <f>C92/C91</f>
        <v>0.35166796085418528</v>
      </c>
      <c r="E92" s="102">
        <f>E91*D92</f>
        <v>6868850</v>
      </c>
      <c r="F92" s="102">
        <f>F91*D92</f>
        <v>6868850</v>
      </c>
    </row>
    <row r="93" spans="2:8" x14ac:dyDescent="0.35">
      <c r="B93" s="100" t="s">
        <v>216</v>
      </c>
      <c r="C93" s="97">
        <f>C27+C28</f>
        <v>8571978</v>
      </c>
      <c r="D93" s="101">
        <f>C93/C91</f>
        <v>0.43886385985236792</v>
      </c>
      <c r="E93" s="102">
        <f>E91*D93</f>
        <v>8571978</v>
      </c>
      <c r="F93" s="102">
        <f>F91*D93</f>
        <v>8571978</v>
      </c>
    </row>
    <row r="94" spans="2:8" x14ac:dyDescent="0.35">
      <c r="B94" s="100" t="s">
        <v>222</v>
      </c>
      <c r="C94" s="97">
        <f>C29</f>
        <v>53132</v>
      </c>
      <c r="D94" s="101">
        <f>C94/C91</f>
        <v>2.7202256703967287E-3</v>
      </c>
      <c r="E94" s="103"/>
      <c r="F94" s="102">
        <f>F91*D94</f>
        <v>53131.999999999993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0.31159999999999999</v>
      </c>
      <c r="D98" s="105"/>
      <c r="E98" s="106">
        <f>F98</f>
        <v>0.31159999999999999</v>
      </c>
      <c r="F98" s="106">
        <f>C98</f>
        <v>0.31159999999999999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6186.HK : 中国飞鹤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6186.HK</v>
      </c>
      <c r="D3" s="313"/>
      <c r="E3" s="3"/>
      <c r="F3" s="9" t="s">
        <v>1</v>
      </c>
      <c r="G3" s="10">
        <v>5.0999999999999996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中国飞鹤</v>
      </c>
      <c r="D4" s="315"/>
      <c r="E4" s="3"/>
      <c r="F4" s="9" t="s">
        <v>2</v>
      </c>
      <c r="G4" s="318">
        <f>Inputs!C10</f>
        <v>9067251704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45605</v>
      </c>
      <c r="D5" s="317"/>
      <c r="E5" s="16"/>
      <c r="F5" s="12" t="s">
        <v>91</v>
      </c>
      <c r="G5" s="321">
        <f>G3*G4/1000000</f>
        <v>46242.983690399997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C0002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0.15971157429598379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0.20946817929344683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0.54851586746509362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1.3900458881786519</v>
      </c>
      <c r="F23" s="39" t="s">
        <v>163</v>
      </c>
      <c r="G23" s="40">
        <f>G3/(Data!C36*Data!C4/Common_Shares*Exchange_Rate)</f>
        <v>1.6109492343443479</v>
      </c>
    </row>
    <row r="24" spans="1:8" ht="15.75" customHeight="1" x14ac:dyDescent="0.35">
      <c r="B24" s="41" t="s">
        <v>239</v>
      </c>
      <c r="C24" s="42">
        <f>Fin_Analysis!I81</f>
        <v>2.7202256703967287E-3</v>
      </c>
      <c r="F24" s="39" t="s">
        <v>224</v>
      </c>
      <c r="G24" s="43">
        <f>G3/(Fin_Analysis!H86*G7)</f>
        <v>14.384486548723583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0.93286630876064991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6.4852249373018353E-2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4.2277236376796861</v>
      </c>
      <c r="D29" s="54">
        <f>G29*(1+G20)</f>
        <v>7.1716418190174442</v>
      </c>
      <c r="E29" s="3"/>
      <c r="F29" s="55">
        <f>IF(Fin_Analysis!C108="Profit",Fin_Analysis!F100,IF(Fin_Analysis!C108="Dividend",Fin_Analysis!F103,Fin_Analysis!F106))</f>
        <v>4.9737925149172781</v>
      </c>
      <c r="G29" s="320">
        <f>IF(Fin_Analysis!C108="Profit",Fin_Analysis!I100,IF(Fin_Analysis!C108="Dividend",Fin_Analysis!I103,Fin_Analysis!I106))</f>
        <v>6.2362102774064736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4091375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19532203</v>
      </c>
      <c r="D6" s="142">
        <f>IF(Inputs!D25="","",Inputs!D25)</f>
        <v>21310933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-8.3465608943540825E-2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6868850</v>
      </c>
      <c r="D8" s="144">
        <f>IF(Inputs!D26="","",Inputs!D26)</f>
        <v>7360333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12663353</v>
      </c>
      <c r="D9" s="273">
        <f t="shared" si="2"/>
        <v>13950600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8571978</v>
      </c>
      <c r="D10" s="144">
        <f>IF(Inputs!D27="","",Inputs!D27)</f>
        <v>8215637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8077.333333333333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0.20946817929344683</v>
      </c>
      <c r="D13" s="292">
        <f t="shared" si="3"/>
        <v>0.26872993625697511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4091375</v>
      </c>
      <c r="D14" s="294">
        <f t="shared" ref="D14:M14" si="4">IF(D6="","",D9-D10-MAX(D11,0)-MAX(D12,0))</f>
        <v>5726885.666666667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-0.28558465488252288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-5720827.666666667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6058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-337926</v>
      </c>
      <c r="D18" s="144">
        <f>IF(Inputs!D32="","",Inputs!D32)</f>
        <v>827860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53132</v>
      </c>
      <c r="D19" s="144">
        <f>IF(Inputs!D29="","",Inputs!D29)</f>
        <v>33640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3.2256320498000146E-2</v>
      </c>
      <c r="D20" s="227">
        <f t="shared" si="7"/>
        <v>2.5514462459245685E-2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630037</v>
      </c>
      <c r="D21" s="144">
        <f>IF(Inputs!D33="","",Inputs!D33)</f>
        <v>543737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3.2256320498000146E-2</v>
      </c>
      <c r="D22" s="227">
        <f t="shared" si="8"/>
        <v>2.5514462459245685E-2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630037</v>
      </c>
      <c r="D23" s="144">
        <f>IF(Inputs!D34="","",Inputs!D34)</f>
        <v>543737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4038243</v>
      </c>
      <c r="D24" s="309">
        <f t="shared" si="9"/>
        <v>4865385.666666667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0.15506096521728757</v>
      </c>
      <c r="D25" s="143">
        <f t="shared" si="10"/>
        <v>0.17122850745202006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3028682.25</v>
      </c>
      <c r="D26" s="276">
        <f>IF(D6="","",D24*(1-Fin_Analysis!$I$84))</f>
        <v>3649039.25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-0.17000557064438263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35609185</v>
      </c>
      <c r="D29" s="147">
        <f>IF(D36="","",D36+D32)</f>
        <v>33716576</v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308472</v>
      </c>
      <c r="D30" s="144">
        <f>IF(Inputs!D35="","",Inputs!D35)</f>
        <v>431184</v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2139247</v>
      </c>
      <c r="D31" s="144">
        <f>IF(Inputs!D36="","",Inputs!D36)</f>
        <v>2258059</v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8565478</v>
      </c>
      <c r="D32" s="144">
        <f>IF(Inputs!D37="","",Inputs!D37)</f>
        <v>7382230</v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549384</v>
      </c>
      <c r="D33" s="144">
        <f>IF(Inputs!D39="","",Inputs!D39)</f>
        <v>592316</v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808963</v>
      </c>
      <c r="D34" s="144">
        <f>IF(Inputs!D40="","",Inputs!D40)</f>
        <v>1044096</v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1358347</v>
      </c>
      <c r="D35" s="97">
        <f t="shared" ref="D35" si="23">IF(OR(D33="",D34=""),"",D33+D34)</f>
        <v>1636412</v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27043707</v>
      </c>
      <c r="D36" s="144">
        <f>IF(Inputs!D41="","",Inputs!D41)</f>
        <v>26334346</v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1426434</v>
      </c>
      <c r="D37" s="144">
        <f>IF(Inputs!D42="","",Inputs!D42)</f>
        <v>1389487</v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>
        <f>IF(Inputs!D43="","",Inputs!D43)</f>
        <v>19968596</v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16075596</v>
      </c>
      <c r="D39" s="147">
        <f t="shared" ref="D39:M39" si="33">IF(D38="","",D29-D38)</f>
        <v>13747980</v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0.25450844870697176</v>
      </c>
      <c r="D40" s="148">
        <f>IF(D6="","",D14/MAX(D39,0))</f>
        <v>0.41656197249826282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0.35166796085418528</v>
      </c>
      <c r="D42" s="150">
        <f t="shared" si="35"/>
        <v>0.34537826194657922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0.43886385985236792</v>
      </c>
      <c r="D43" s="146">
        <f t="shared" si="36"/>
        <v>0.3855127788163944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3.8846727170509146E-2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2.7202256703967287E-3</v>
      </c>
      <c r="D45" s="146">
        <f t="shared" si="38"/>
        <v>1.5785324837725313E-3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3.7902298005128792E-4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0.2067479536230501</v>
      </c>
      <c r="D48" s="281">
        <f t="shared" si="41"/>
        <v>0.22830467660269341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0.54851586746509362</v>
      </c>
      <c r="D50" s="153">
        <f t="shared" si="42"/>
        <v>0.63206100761832995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1.5792995802879992E-2</v>
      </c>
      <c r="D51" s="146">
        <f t="shared" si="43"/>
        <v>2.0232994960849439E-2</v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0.1095241023247608</v>
      </c>
      <c r="D52" s="146">
        <f t="shared" si="44"/>
        <v>0.10595777294217949</v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0.18998161609687811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0.71940071079975576</v>
      </c>
      <c r="D55" s="150">
        <f t="shared" si="46"/>
        <v>0.73983962665722636</v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2.9729097204175368</v>
      </c>
      <c r="D56" s="154">
        <f t="shared" si="47"/>
        <v>2.9732033660634771</v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1.3157207230966536E-2</v>
      </c>
      <c r="D57" s="146">
        <f t="shared" si="48"/>
        <v>6.9141487036622033E-3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7.3498032540433522E-2</v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0.15971157429598382</v>
      </c>
      <c r="D60" s="156">
        <f t="shared" si="50"/>
        <v>0.22958180147126375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0.15763750497564671</v>
      </c>
      <c r="D61" s="156">
        <f t="shared" si="51"/>
        <v>0.19504562710363152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27043707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25617273</v>
      </c>
      <c r="K3" s="75"/>
    </row>
    <row r="4" spans="1:11" ht="15" customHeight="1" x14ac:dyDescent="0.35">
      <c r="B4" s="9" t="s">
        <v>21</v>
      </c>
      <c r="C4" s="3"/>
      <c r="D4" s="144">
        <f>Inputs!C42</f>
        <v>1426434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3.3364014362803656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9134737.5398572553</v>
      </c>
      <c r="E6" s="170">
        <f>1-D6/D3</f>
        <v>0.66222317303403511</v>
      </c>
      <c r="F6" s="3"/>
      <c r="G6" s="3"/>
      <c r="H6" s="2" t="s">
        <v>24</v>
      </c>
      <c r="I6" s="168">
        <f>(C24+C25)/I28</f>
        <v>3.0177109762109176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1.0693458122704533</v>
      </c>
      <c r="E7" s="167" t="str">
        <f>Dashboard!H3</f>
        <v>HKD</v>
      </c>
      <c r="H7" s="2" t="s">
        <v>25</v>
      </c>
      <c r="I7" s="168">
        <f>C24/I28</f>
        <v>2.8904485389230459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19073030</v>
      </c>
      <c r="D11" s="258">
        <f>Inputs!D48</f>
        <v>0.9</v>
      </c>
      <c r="E11" s="176">
        <f t="shared" ref="E11:E22" si="0">C11*D11</f>
        <v>17165727</v>
      </c>
      <c r="F11" s="260"/>
      <c r="G11" s="3"/>
      <c r="H11" s="9" t="s">
        <v>31</v>
      </c>
      <c r="I11" s="175">
        <f>Inputs!C73</f>
        <v>510909</v>
      </c>
      <c r="J11" s="3"/>
      <c r="K11" s="75"/>
    </row>
    <row r="12" spans="1:11" ht="11.65" x14ac:dyDescent="0.35">
      <c r="B12" s="2" t="s">
        <v>123</v>
      </c>
      <c r="C12" s="175">
        <f>Inputs!C49</f>
        <v>20972</v>
      </c>
      <c r="D12" s="258">
        <f>Inputs!D49</f>
        <v>0.8</v>
      </c>
      <c r="E12" s="176">
        <f t="shared" si="0"/>
        <v>16777.600000000002</v>
      </c>
      <c r="F12" s="260"/>
      <c r="G12" s="3"/>
      <c r="H12" s="9" t="s">
        <v>32</v>
      </c>
      <c r="I12" s="175">
        <f>Inputs!C74</f>
        <v>28807</v>
      </c>
      <c r="J12" s="3"/>
      <c r="K12" s="75"/>
    </row>
    <row r="13" spans="1:11" ht="11.65" x14ac:dyDescent="0.35">
      <c r="B13" s="9" t="s">
        <v>105</v>
      </c>
      <c r="C13" s="175">
        <f>Inputs!C50</f>
        <v>308472</v>
      </c>
      <c r="D13" s="258">
        <f>Inputs!D50</f>
        <v>0.6</v>
      </c>
      <c r="E13" s="176">
        <f t="shared" si="0"/>
        <v>185083.19999999998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9668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549384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854264</v>
      </c>
      <c r="D17" s="258">
        <f>Inputs!D54</f>
        <v>0.1</v>
      </c>
      <c r="E17" s="176">
        <f t="shared" si="0"/>
        <v>85426.400000000009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2139247</v>
      </c>
      <c r="D18" s="258">
        <f>Inputs!D55</f>
        <v>0.5</v>
      </c>
      <c r="E18" s="176">
        <f t="shared" si="0"/>
        <v>1069623.5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6163233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19402474</v>
      </c>
      <c r="D24" s="185">
        <f>IF(E24=0,0,E24/C24)</f>
        <v>0.89512233336841485</v>
      </c>
      <c r="E24" s="176">
        <f>SUM(E11:E14)</f>
        <v>17367587.800000001</v>
      </c>
      <c r="F24" s="186">
        <f>E24/$E$28</f>
        <v>0.93764117623485133</v>
      </c>
      <c r="G24" s="3"/>
    </row>
    <row r="25" spans="2:10" ht="15" customHeight="1" x14ac:dyDescent="0.35">
      <c r="B25" s="183" t="s">
        <v>47</v>
      </c>
      <c r="C25" s="184">
        <f>SUM(C15:C17)</f>
        <v>854264</v>
      </c>
      <c r="D25" s="185">
        <f>IF(E25=0,0,E25/C25)</f>
        <v>0.1</v>
      </c>
      <c r="E25" s="176">
        <f>SUM(E15:E17)</f>
        <v>85426.400000000009</v>
      </c>
      <c r="F25" s="186">
        <f>E25/$E$28</f>
        <v>4.6119997261513147E-3</v>
      </c>
      <c r="G25" s="3"/>
      <c r="H25" s="183" t="s">
        <v>48</v>
      </c>
      <c r="I25" s="168">
        <f>E28/I28</f>
        <v>2.7593765144056333</v>
      </c>
    </row>
    <row r="26" spans="2:10" ht="15" customHeight="1" x14ac:dyDescent="0.35">
      <c r="B26" s="183" t="s">
        <v>49</v>
      </c>
      <c r="C26" s="184">
        <f>C18+C19+C20</f>
        <v>2139247</v>
      </c>
      <c r="D26" s="185">
        <f>IF(E26=0,0,E26/C26)</f>
        <v>0.5</v>
      </c>
      <c r="E26" s="176">
        <f>E18+E19+E20</f>
        <v>1069623.5</v>
      </c>
      <c r="F26" s="186">
        <f>E26/$E$28</f>
        <v>5.7746824038997425E-2</v>
      </c>
      <c r="G26" s="3"/>
      <c r="H26" s="183" t="s">
        <v>50</v>
      </c>
      <c r="I26" s="168">
        <f>E24/($I$28-I22)</f>
        <v>31.612838743028558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52</v>
      </c>
      <c r="I27" s="168">
        <f>(E25+E24)/$I$28</f>
        <v>2.600031284370909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22395985</v>
      </c>
      <c r="D28" s="190">
        <f>E28/C28</f>
        <v>0.82705171038469616</v>
      </c>
      <c r="E28" s="191">
        <f>SUM(E24:E27)</f>
        <v>18522637.699999999</v>
      </c>
      <c r="F28" s="87"/>
      <c r="G28" s="3"/>
      <c r="H28" s="188" t="s">
        <v>15</v>
      </c>
      <c r="I28" s="161">
        <f>Inputs!C77</f>
        <v>6712617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300000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756896</v>
      </c>
      <c r="J30" s="3"/>
    </row>
    <row r="31" spans="2:10" ht="15" customHeight="1" x14ac:dyDescent="0.35">
      <c r="B31" s="9" t="s">
        <v>55</v>
      </c>
      <c r="C31" s="175">
        <f>Inputs!C61</f>
        <v>1800</v>
      </c>
      <c r="D31" s="258">
        <f>Inputs!D61</f>
        <v>0.6</v>
      </c>
      <c r="E31" s="176">
        <f t="shared" ref="E31:E42" si="1">C31*D31</f>
        <v>1080</v>
      </c>
      <c r="F31" s="260"/>
      <c r="G31" s="3"/>
      <c r="H31" s="9" t="s">
        <v>56</v>
      </c>
      <c r="I31" s="175">
        <f>Inputs!C79</f>
        <v>52067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808963</v>
      </c>
      <c r="J34" s="3"/>
    </row>
    <row r="35" spans="2:10" ht="11.65" x14ac:dyDescent="0.35">
      <c r="B35" s="9" t="s">
        <v>62</v>
      </c>
      <c r="C35" s="175">
        <f>Inputs!C65</f>
        <v>113569</v>
      </c>
      <c r="D35" s="258">
        <f>Inputs!D65</f>
        <v>0.1</v>
      </c>
      <c r="E35" s="176">
        <f t="shared" si="1"/>
        <v>11356.900000000001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45190</v>
      </c>
      <c r="D36" s="258">
        <f>Inputs!D66</f>
        <v>0.2</v>
      </c>
      <c r="E36" s="176">
        <f t="shared" si="1"/>
        <v>9038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9938000</v>
      </c>
      <c r="D38" s="258">
        <f>Inputs!D68</f>
        <v>0.1</v>
      </c>
      <c r="E38" s="176">
        <f t="shared" si="1"/>
        <v>993800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2304520</v>
      </c>
      <c r="D39" s="258">
        <f>Inputs!D69</f>
        <v>0.05</v>
      </c>
      <c r="E39" s="176">
        <f t="shared" si="1"/>
        <v>115226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15244</v>
      </c>
      <c r="D40" s="258">
        <f>Inputs!D70</f>
        <v>0.05</v>
      </c>
      <c r="E40" s="176">
        <f t="shared" si="1"/>
        <v>762.2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382475</v>
      </c>
      <c r="D41" s="258">
        <f>Inputs!D71</f>
        <v>0.9</v>
      </c>
      <c r="E41" s="176">
        <f t="shared" si="1"/>
        <v>344227.5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112402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1043898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301800</v>
      </c>
      <c r="D44" s="185">
        <f>IF(E44=0,0,E44/C44)</f>
        <v>3.5785288270377734E-3</v>
      </c>
      <c r="E44" s="176">
        <f>SUM(E30:E31)</f>
        <v>1080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113569</v>
      </c>
      <c r="D45" s="185">
        <f>IF(E45=0,0,E45/C45)</f>
        <v>0.10000000000000002</v>
      </c>
      <c r="E45" s="176">
        <f>SUM(E32:E35)</f>
        <v>11356.900000000001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12287710</v>
      </c>
      <c r="D46" s="185">
        <f>IF(E46=0,0,E46/C46)</f>
        <v>9.0990428647811511E-2</v>
      </c>
      <c r="E46" s="176">
        <f>E36+E37+E38+E39</f>
        <v>1118064</v>
      </c>
      <c r="F46" s="3"/>
      <c r="G46" s="3"/>
      <c r="H46" s="183" t="s">
        <v>73</v>
      </c>
      <c r="I46" s="168">
        <f>(E44+E24)/E64</f>
        <v>12.786620649951743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510121</v>
      </c>
      <c r="D47" s="185">
        <f>IF(E47=0,0,E47/C47)</f>
        <v>0.67628993905367552</v>
      </c>
      <c r="E47" s="176">
        <f>E40+E41+E42</f>
        <v>344989.7</v>
      </c>
      <c r="F47" s="3"/>
      <c r="G47" s="3"/>
      <c r="H47" s="183" t="s">
        <v>75</v>
      </c>
      <c r="I47" s="168">
        <f>(E44+E45+E24+E25)/$I$49</f>
        <v>2.0390515392135731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13213200</v>
      </c>
      <c r="D48" s="195">
        <f>E48/C48</f>
        <v>0.1116679229861048</v>
      </c>
      <c r="E48" s="196">
        <f>SUM(E30:E42)</f>
        <v>1475490.5999999999</v>
      </c>
      <c r="F48" s="3"/>
      <c r="G48" s="3"/>
      <c r="H48" s="91" t="s">
        <v>77</v>
      </c>
      <c r="I48" s="197">
        <f>I49-I28</f>
        <v>1852861</v>
      </c>
      <c r="J48" s="187"/>
    </row>
    <row r="49" spans="2:11" ht="15" customHeight="1" thickTop="1" x14ac:dyDescent="0.35">
      <c r="B49" s="9" t="s">
        <v>13</v>
      </c>
      <c r="C49" s="184">
        <f>Inputs!C41+Inputs!C37</f>
        <v>35609185</v>
      </c>
      <c r="D49" s="170">
        <f>E49/C49</f>
        <v>0.56160028093875225</v>
      </c>
      <c r="E49" s="176">
        <f>E28+E48</f>
        <v>19998128.300000001</v>
      </c>
      <c r="F49" s="3"/>
      <c r="G49" s="3"/>
      <c r="H49" s="9" t="s">
        <v>78</v>
      </c>
      <c r="I49" s="175">
        <f>Inputs!C37</f>
        <v>8565478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1426434</v>
      </c>
      <c r="D53" s="34">
        <f>IF(E53=0, 0,E53/C53)</f>
        <v>1.6109492343443479</v>
      </c>
      <c r="E53" s="176">
        <f>IF(C53=0,0,MAX(C53,C53*Dashboard!G23))</f>
        <v>2297912.7601427455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1358347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160559</v>
      </c>
      <c r="D61" s="170">
        <f t="shared" ref="D61:D70" si="2">IF(E61=0,0,E61/C61)</f>
        <v>0.13375083302711155</v>
      </c>
      <c r="E61" s="182">
        <f>E14+E15+(E19*G19)+(E20*G20)+E31+E32+(E35*G35)+(E36*G36)+(E37*G37)</f>
        <v>21474.9</v>
      </c>
      <c r="F61" s="3"/>
      <c r="G61" s="3"/>
      <c r="H61" s="2" t="s">
        <v>253</v>
      </c>
      <c r="I61" s="203">
        <f>C99*Data!$C$4/Common_Shares</f>
        <v>1.3383478910165365</v>
      </c>
      <c r="K61" s="172"/>
    </row>
    <row r="62" spans="2:11" ht="11.65" x14ac:dyDescent="0.35">
      <c r="B62" s="12" t="s">
        <v>127</v>
      </c>
      <c r="C62" s="204">
        <f>C11+C30</f>
        <v>19373030</v>
      </c>
      <c r="D62" s="205">
        <f t="shared" si="2"/>
        <v>0.88606309906091096</v>
      </c>
      <c r="E62" s="206">
        <f>E11+E30</f>
        <v>17165727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19533589</v>
      </c>
      <c r="D63" s="34">
        <f t="shared" si="2"/>
        <v>0.87987936574277259</v>
      </c>
      <c r="E63" s="184">
        <f>E61+E62</f>
        <v>17187201.899999999</v>
      </c>
      <c r="F63" s="3"/>
      <c r="G63" s="3"/>
      <c r="H63" s="2" t="s">
        <v>254</v>
      </c>
      <c r="I63" s="207">
        <f>IF(I61&gt;0,FV(I62,D93,0,-I61),I61)</f>
        <v>1.4379069031096561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1358347</v>
      </c>
      <c r="F64" s="3"/>
      <c r="G64" s="3"/>
      <c r="H64" s="2" t="s">
        <v>255</v>
      </c>
      <c r="I64" s="207">
        <f>IF(I61&gt;0,PV(C94,D93,0,-I63),I61)</f>
        <v>0.82212793871357326</v>
      </c>
      <c r="K64" s="172"/>
    </row>
    <row r="65" spans="1:11" ht="12" thickTop="1" x14ac:dyDescent="0.35">
      <c r="B65" s="9" t="s">
        <v>130</v>
      </c>
      <c r="C65" s="202">
        <f>C63-E64</f>
        <v>18175242</v>
      </c>
      <c r="D65" s="34">
        <f t="shared" si="2"/>
        <v>0.87090201605018513</v>
      </c>
      <c r="E65" s="184">
        <f>E63-E64</f>
        <v>15828854.899999999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16075596</v>
      </c>
      <c r="D68" s="34">
        <f t="shared" si="2"/>
        <v>0.17485674559126779</v>
      </c>
      <c r="E68" s="202">
        <f>E49-E63</f>
        <v>2810926.4000000022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7207131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8868465</v>
      </c>
      <c r="D70" s="34">
        <f t="shared" si="2"/>
        <v>-0.49571200878618765</v>
      </c>
      <c r="E70" s="202">
        <f>E68-E69</f>
        <v>-4396204.5999999978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19532203</v>
      </c>
      <c r="D74" s="98"/>
      <c r="E74" s="256">
        <f>Inputs!E91</f>
        <v>19532203</v>
      </c>
      <c r="F74" s="98"/>
      <c r="H74" s="256">
        <f>Inputs!F91</f>
        <v>19532203</v>
      </c>
      <c r="I74" s="98"/>
      <c r="K74" s="75"/>
    </row>
    <row r="75" spans="1:11" ht="15" customHeight="1" x14ac:dyDescent="0.35">
      <c r="B75" s="100" t="s">
        <v>97</v>
      </c>
      <c r="C75" s="97">
        <f>Data!C8</f>
        <v>6868850</v>
      </c>
      <c r="D75" s="101">
        <f>C75/$C$74</f>
        <v>0.35166796085418528</v>
      </c>
      <c r="E75" s="256">
        <f>Inputs!E92</f>
        <v>6868850</v>
      </c>
      <c r="F75" s="211">
        <f>E75/E74</f>
        <v>0.35166796085418528</v>
      </c>
      <c r="H75" s="256">
        <f>Inputs!F92</f>
        <v>6868850</v>
      </c>
      <c r="I75" s="211">
        <f>H75/$H$74</f>
        <v>0.35166796085418528</v>
      </c>
      <c r="K75" s="75"/>
    </row>
    <row r="76" spans="1:11" ht="15" customHeight="1" x14ac:dyDescent="0.35">
      <c r="B76" s="12" t="s">
        <v>87</v>
      </c>
      <c r="C76" s="145">
        <f>C74-C75</f>
        <v>12663353</v>
      </c>
      <c r="D76" s="212"/>
      <c r="E76" s="213">
        <f>E74-E75</f>
        <v>12663353</v>
      </c>
      <c r="F76" s="212"/>
      <c r="H76" s="213">
        <f>H74-H75</f>
        <v>12663353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8571978</v>
      </c>
      <c r="D77" s="101">
        <f>C77/$C$74</f>
        <v>0.43886385985236792</v>
      </c>
      <c r="E77" s="256">
        <f>Inputs!E93</f>
        <v>8571978</v>
      </c>
      <c r="F77" s="211">
        <f>E77/E74</f>
        <v>0.43886385985236792</v>
      </c>
      <c r="H77" s="256">
        <f>Inputs!F93</f>
        <v>8571978</v>
      </c>
      <c r="I77" s="211">
        <f>H77/$H$74</f>
        <v>0.43886385985236792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4091375</v>
      </c>
      <c r="D79" s="217">
        <f>C79/C74</f>
        <v>0.20946817929344683</v>
      </c>
      <c r="E79" s="218">
        <f>E76-E77-E78</f>
        <v>4091375</v>
      </c>
      <c r="F79" s="217">
        <f>E79/E74</f>
        <v>0.20946817929344683</v>
      </c>
      <c r="G79" s="219"/>
      <c r="H79" s="218">
        <f>H76-H77-H78</f>
        <v>4091375</v>
      </c>
      <c r="I79" s="217">
        <f>H79/H74</f>
        <v>0.20946817929344683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53132</v>
      </c>
      <c r="D81" s="101">
        <f>C81/$C$74</f>
        <v>2.7202256703967287E-3</v>
      </c>
      <c r="E81" s="214">
        <f>E74*F81</f>
        <v>53131.999999999993</v>
      </c>
      <c r="F81" s="211">
        <f>I81</f>
        <v>2.7202256703967287E-3</v>
      </c>
      <c r="H81" s="256">
        <f>Inputs!F94</f>
        <v>53131.999999999993</v>
      </c>
      <c r="I81" s="211">
        <f>H81/$H$74</f>
        <v>2.7202256703967287E-3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4038243</v>
      </c>
      <c r="D83" s="223">
        <f>C83/$C$74</f>
        <v>0.2067479536230501</v>
      </c>
      <c r="E83" s="224">
        <f>E79-E81-E82-E80</f>
        <v>4038243</v>
      </c>
      <c r="F83" s="223">
        <f>E83/E74</f>
        <v>0.2067479536230501</v>
      </c>
      <c r="H83" s="224">
        <f>H79-H81-H82-H80</f>
        <v>4038243</v>
      </c>
      <c r="I83" s="223">
        <f>H83/$H$74</f>
        <v>0.2067479536230501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3028682.25</v>
      </c>
      <c r="D85" s="217">
        <f>C85/$C$74</f>
        <v>0.15506096521728757</v>
      </c>
      <c r="E85" s="229">
        <f>E83*(1-F84)</f>
        <v>3028682.25</v>
      </c>
      <c r="F85" s="217">
        <f>E85/E74</f>
        <v>0.15506096521728757</v>
      </c>
      <c r="G85" s="219"/>
      <c r="H85" s="229">
        <f>H83*(1-I84)</f>
        <v>3028682.25</v>
      </c>
      <c r="I85" s="217">
        <f>H85/$H$74</f>
        <v>0.15506096521728757</v>
      </c>
      <c r="K85" s="75"/>
    </row>
    <row r="86" spans="1:11" ht="15" customHeight="1" x14ac:dyDescent="0.35">
      <c r="B86" s="3" t="s">
        <v>143</v>
      </c>
      <c r="C86" s="230">
        <f>C85*Data!C4/Common_Shares</f>
        <v>0.33402428308722287</v>
      </c>
      <c r="D86" s="98"/>
      <c r="E86" s="231">
        <f>E85*Data!C4/Common_Shares</f>
        <v>0.33402428308722287</v>
      </c>
      <c r="F86" s="98"/>
      <c r="H86" s="231">
        <f>H85*Data!C4/Common_Shares</f>
        <v>0.33402428308722287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6.95193392279084E-2</v>
      </c>
      <c r="D87" s="98"/>
      <c r="E87" s="233">
        <f>E86*Exchange_Rate/Dashboard!G3</f>
        <v>6.95193392279084E-2</v>
      </c>
      <c r="F87" s="98"/>
      <c r="H87" s="233">
        <f>H86*Exchange_Rate/Dashboard!G3</f>
        <v>6.95193392279084E-2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0.31159999999999999</v>
      </c>
      <c r="D88" s="235">
        <f>C88/C86</f>
        <v>0.93286630876064991</v>
      </c>
      <c r="E88" s="255">
        <f>Inputs!E98</f>
        <v>0.31159999999999999</v>
      </c>
      <c r="F88" s="235">
        <f>E88/E86</f>
        <v>0.93286630876064991</v>
      </c>
      <c r="H88" s="255">
        <f>Inputs!F98</f>
        <v>0.31159999999999999</v>
      </c>
      <c r="I88" s="235">
        <f>H88/H86</f>
        <v>0.93286630876064991</v>
      </c>
      <c r="K88" s="75"/>
    </row>
    <row r="89" spans="1:11" ht="15" customHeight="1" x14ac:dyDescent="0.35">
      <c r="B89" s="3" t="s">
        <v>193</v>
      </c>
      <c r="C89" s="232">
        <f>C88*Exchange_Rate/Dashboard!G3</f>
        <v>6.4852249373018353E-2</v>
      </c>
      <c r="D89" s="98"/>
      <c r="E89" s="232">
        <f>E88*Exchange_Rate/Dashboard!G3</f>
        <v>6.4852249373018353E-2</v>
      </c>
      <c r="F89" s="98"/>
      <c r="H89" s="232">
        <f>H88*Exchange_Rate/Dashboard!G3</f>
        <v>6.4852249373018353E-2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7.7317736086737696</v>
      </c>
      <c r="H93" s="3" t="s">
        <v>182</v>
      </c>
      <c r="I93" s="237">
        <f>FV(H87,D93,0,-(H86/(C93-D94)))*Exchange_Rate</f>
        <v>7.7317736086737696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7.0876355895241634</v>
      </c>
      <c r="H94" s="3" t="s">
        <v>183</v>
      </c>
      <c r="I94" s="237">
        <f>FV(H89,D93,0,-(H88/(C93-D94)))*Exchange_Rate</f>
        <v>7.0876355895241634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40083297.259909436</v>
      </c>
      <c r="D97" s="244"/>
      <c r="E97" s="245">
        <f>PV(C94,D93,0,-F93)</f>
        <v>4.4206666549497875</v>
      </c>
      <c r="F97" s="244"/>
      <c r="H97" s="245">
        <f>PV(C94,D93,0,-I93)</f>
        <v>4.4206666549497875</v>
      </c>
      <c r="I97" s="245">
        <f>PV(C93,D93,0,-I93)</f>
        <v>5.683084417438983</v>
      </c>
      <c r="K97" s="75"/>
    </row>
    <row r="98" spans="2:11" ht="15" customHeight="1" x14ac:dyDescent="0.35">
      <c r="B98" s="18" t="s">
        <v>132</v>
      </c>
      <c r="C98" s="243">
        <f>-E53*Exchange_Rate</f>
        <v>-2439109.5568899647</v>
      </c>
      <c r="D98" s="244"/>
      <c r="E98" s="244"/>
      <c r="F98" s="244"/>
      <c r="H98" s="245">
        <f>C98*Data!$C$4/Common_Shares</f>
        <v>-0.26900207874608312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12135137.195364496</v>
      </c>
      <c r="D99" s="248"/>
      <c r="E99" s="249">
        <f>IF(H99&gt;0,I64,H99)</f>
        <v>0.82212793871357326</v>
      </c>
      <c r="F99" s="248"/>
      <c r="H99" s="249">
        <f>I64</f>
        <v>0.82212793871357326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4.2277236376796861</v>
      </c>
      <c r="E100" s="251">
        <f>MAX(E97+H98+E99,0)</f>
        <v>4.9737925149172781</v>
      </c>
      <c r="F100" s="251">
        <f>(E100+H100)/2</f>
        <v>4.9737925149172781</v>
      </c>
      <c r="H100" s="251">
        <f>MAX(H97+H98+H99,0)</f>
        <v>4.9737925149172781</v>
      </c>
      <c r="I100" s="251">
        <f>MAX(I97+H98+H99,0)</f>
        <v>6.2362102774064736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3.4445218541074629</v>
      </c>
      <c r="E103" s="245">
        <f>PV(C94,D93,0,-F94)</f>
        <v>4.0523786518911331</v>
      </c>
      <c r="F103" s="251">
        <f>(E103+H103)/2</f>
        <v>4.0523786518911331</v>
      </c>
      <c r="H103" s="245">
        <f>PV(C94,D93,0,-I94)</f>
        <v>4.0523786518911331</v>
      </c>
      <c r="I103" s="251">
        <f>PV(C93,D93,0,-I94)</f>
        <v>5.2096237440428492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3.8361227458935745</v>
      </c>
      <c r="E106" s="245">
        <f>(E100+E103)/2</f>
        <v>4.5130855834042052</v>
      </c>
      <c r="F106" s="251">
        <f>(F100+F103)/2</f>
        <v>4.5130855834042052</v>
      </c>
      <c r="H106" s="245">
        <f>(H100+H103)/2</f>
        <v>4.5130855834042052</v>
      </c>
      <c r="I106" s="245">
        <f>(I100+I103)/2</f>
        <v>5.722917010724661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