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8B2D79E-962B-4EA1-B325-18DB29BC08C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6" i="4" l="1"/>
  <c r="F95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<sst xmlns="http://schemas.openxmlformats.org/spreadsheetml/2006/main" count="406" uniqueCount="291">
  <si>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</si>
  <si>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</si>
  <si>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</si>
  <si>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</si>
  <si>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</si>
  <si>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</si>
  <si>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</si>
  <si>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</si>
  <si>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</si>
  <si>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</si>
  <si>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</si>
  <si>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</si>
  <si>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</si>
  <si>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</si>
  <si>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</si>
  <si>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</si>
  <si>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</si>
  <si>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</si>
  <si>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</si>
  <si>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</si>
  <si>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</si>
  <si>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</si>
  <si>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</si>
  <si>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</si>
  <si>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</si>
  <si>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</si>
  <si>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</si>
  <si>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</si>
  <si>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</si>
  <si>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</si>
  <si>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</si>
  <si>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</si>
  <si>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</si>
  <si>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</si>
  <si>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</si>
  <si>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</si>
  <si>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</si>
  <si>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</si>
  <si>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</si>
  <si>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</si>
  <si>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</si>
  <si>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</si>
  <si>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</si>
  <si>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</si>
  <si>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</si>
  <si>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</si>
  <si>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</si>
  <si>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</si>
  <si>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</si>
  <si>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</si>
  <si>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</si>
  <si>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</si>
  <si>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</si>
  <si>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</si>
  <si>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</si>
  <si>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</si>
  <si>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</si>
  <si>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</si>
  <si>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</si>
  <si>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</si>
  <si>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</si>
  <si>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</si>
  <si>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</si>
  <si>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</si>
  <si>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</si>
  <si>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</si>
  <si>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</si>
  <si>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</si>
  <si>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</si>
  <si>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</si>
  <si>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</si>
  <si>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</si>
  <si>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</si>
  <si>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</si>
  <si>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</si>
  <si>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</si>
  <si>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</si>
  <si>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</si>
  <si>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</si>
  <si>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</si>
  <si>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</si>
  <si>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</si>
  <si>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</si>
  <si>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</si>
  <si>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</si>
  <si>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</si>
  <si>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</si>
  <si>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</si>
  <si>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</si>
  <si>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</si>
  <si>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</si>
  <si>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</si>
  <si>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</si>
  <si>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</si>
  <si>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</si>
  <si>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</si>
  <si>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</si>
  <si>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</si>
  <si>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</si>
  <si>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</si>
  <si>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</si>
  <si>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</si>
  <si>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</si>
  <si>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</si>
  <si>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</si>
  <si>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</si>
  <si>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</si>
  <si>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</si>
  <si>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</si>
  <si>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</si>
  <si>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</si>
  <si>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</si>
  <si>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</si>
  <si>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</si>
  <si>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</si>
  <si>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</si>
  <si>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</si>
  <si>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</si>
  <si>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</si>
  <si>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</si>
  <si>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</si>
  <si>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</si>
  <si>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</si>
  <si>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</si>
  <si>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</si>
  <si>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</si>
  <si>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</si>
  <si>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</si>
  <si>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</si>
  <si>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</si>
  <si>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</si>
  <si>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</si>
  <si>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</si>
  <si>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</si>
  <si>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</si>
  <si>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</si>
  <si>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</si>
  <si>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</si>
  <si>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</si>
  <si>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</si>
  <si>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</si>
  <si>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</si>
  <si>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</si>
  <si>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</si>
  <si>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</si>
  <si>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</si>
  <si>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</si>
  <si>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</si>
  <si>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</si>
  <si>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</si>
  <si>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</si>
  <si>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</si>
  <si>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</si>
  <si>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</si>
  <si>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</si>
  <si>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</si>
  <si>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</si>
  <si>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</si>
  <si>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</si>
  <si>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</si>
  <si>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</si>
  <si>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</si>
  <si>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</si>
  <si>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</si>
  <si>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</si>
  <si>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</si>
  <si>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</si>
  <si>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</si>
  <si>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</si>
  <si>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</si>
  <si>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</si>
  <si>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</si>
  <si>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</si>
  <si>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</si>
  <si>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</si>
  <si>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</si>
  <si>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</si>
  <si>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</si>
  <si>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</si>
  <si>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</si>
  <si>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</si>
  <si>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</si>
  <si>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</si>
  <si>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</si>
  <si>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</si>
  <si>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</si>
  <si>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</si>
  <si>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</si>
  <si>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</si>
  <si>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</si>
  <si>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</si>
  <si>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</si>
  <si>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</si>
  <si>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</si>
  <si>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</si>
  <si>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</si>
  <si>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</si>
  <si>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</si>
  <si>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</si>
  <si>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</si>
  <si>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</si>
  <si>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</si>
  <si>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</si>
  <si>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</si>
  <si>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</si>
  <si>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</si>
  <si>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</si>
  <si>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</si>
  <si>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</si>
  <si>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</si>
  <si>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</si>
  <si>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</si>
  <si>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</si>
  <si>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</si>
  <si>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</si>
  <si>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</si>
  <si>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</si>
  <si>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</si>
  <si>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</si>
  <si>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</si>
  <si>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</si>
  <si>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</si>
  <si>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</si>
  <si>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</si>
  <si>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</si>
  <si>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</si>
  <si>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</si>
  <si>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</si>
  <si>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</si>
  <si>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</si>
  <si>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</si>
  <si>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</si>
  <si>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</si>
  <si>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</si>
  <si>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</si>
  <si>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</si>
  <si>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</si>
  <si>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</si>
  <si>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</si>
  <si>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</si>
  <si>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</si>
  <si>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</si>
  <si>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</si>
  <si>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</si>
  <si>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</si>
  <si>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</si>
  <si>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</si>
  <si>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</si>
  <si>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</si>
  <si>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</si>
  <si>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</si>
  <si>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</si>
  <si>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</si>
  <si>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</si>
  <si>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</si>
  <si>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</si>
  <si>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</si>
  <si>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</si>
  <si>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</si>
  <si>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</si>
  <si>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</si>
  <si>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</si>
  <si>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</si>
  <si>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</si>
  <si>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</si>
  <si>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</si>
  <si>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</si>
  <si>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</si>
  <si>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</si>
  <si>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</si>
  <si>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</si>
  <si>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</si>
  <si>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</si>
  <si>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</si>
  <si>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</si>
  <si>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</si>
  <si>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</si>
  <si>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</si>
  <si>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</si>
  <si>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</si>
  <si>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</si>
  <si>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</si>
  <si>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</si>
  <si>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</si>
  <si>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</si>
  <si>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</si>
  <si>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</si>
  <si>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</si>
  <si>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</si>
  <si>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 xml:space="preserve">	5,417,703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</si>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</sst>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59085551061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277533</v>
      </c>
      <c r="D25" s="77">
        <v>271386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55101</v>
      </c>
      <c r="D26" s="78">
        <v>53933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43909</v>
      </c>
      <c r="D27" s="78">
        <v>45277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143329</v>
      </c>
      <c r="D29" s="78">
        <v>127654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233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284</v>
      </c>
      <c r="D31" s="78">
        <v>233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>
        <v>6225829</v>
      </c>
      <c r="D37" s="78">
        <v>5790497</v>
      </c>
      <c r="E37" s="78" t="s">
        <v>289</v>
      </c>
      <c r="F37" s="78">
        <v>4913123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>
        <v>1394922</v>
      </c>
      <c r="E38" s="78">
        <v>1382175</v>
      </c>
      <c r="F38" s="78">
        <v>1490133</v>
      </c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570865</v>
      </c>
      <c r="D41" s="302">
        <v>510013</v>
      </c>
      <c r="E41" s="302">
        <v>484366</v>
      </c>
      <c r="F41" s="302">
        <v>455040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2474</v>
      </c>
      <c r="D42" s="78">
        <v>2130</v>
      </c>
      <c r="E42" s="78">
        <v>1877</v>
      </c>
      <c r="F42" s="78">
        <v>1570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0.173+0.104</f>
        <v>0.27699999999999997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0.10500730410927817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290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277533</v>
      </c>
      <c r="D91" s="98"/>
      <c r="E91" s="99">
        <f>C91</f>
        <v>277533</v>
      </c>
      <c r="F91" s="99">
        <f>C91</f>
        <v>277533</v>
      </c>
    </row>
    <row r="92" spans="2:8" x14ac:dyDescent="0.35">
      <c r="B92" s="100" t="s">
        <v>97</v>
      </c>
      <c r="C92" s="97">
        <f>C26</f>
        <v>55101</v>
      </c>
      <c r="D92" s="101">
        <f>C92/C91</f>
        <v>0.19853855217217412</v>
      </c>
      <c r="E92" s="102">
        <f>E91*D92</f>
        <v>55101</v>
      </c>
      <c r="F92" s="102">
        <f>F91*D92</f>
        <v>55101</v>
      </c>
    </row>
    <row r="93" spans="2:8" x14ac:dyDescent="0.35">
      <c r="B93" s="100" t="s">
        <v>215</v>
      </c>
      <c r="C93" s="97">
        <f>C27+C28</f>
        <v>43909</v>
      </c>
      <c r="D93" s="101">
        <f>C93/C91</f>
        <v>0.15821181625248168</v>
      </c>
      <c r="E93" s="102">
        <f>E91*D93</f>
        <v>43909</v>
      </c>
      <c r="F93" s="102">
        <f>F91*D93</f>
        <v>43909</v>
      </c>
    </row>
    <row r="94" spans="2:8" x14ac:dyDescent="0.35">
      <c r="B94" s="100" t="s">
        <v>221</v>
      </c>
      <c r="C94" s="97">
        <f>C29</f>
        <v>143329</v>
      </c>
      <c r="D94" s="101">
        <f>C94/C91</f>
        <v>0.51643948647548221</v>
      </c>
      <c r="E94" s="103"/>
      <c r="F94" s="102">
        <f>F91*D94</f>
        <v>143329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378.66666666666669</v>
      </c>
      <c r="D97" s="101">
        <f>C97/C91</f>
        <v>1.3644023113167324E-3</v>
      </c>
      <c r="E97" s="103"/>
      <c r="F97" s="102">
        <f>F91*D97</f>
        <v>378.66666666666669</v>
      </c>
    </row>
    <row r="98" spans="2:6" x14ac:dyDescent="0.35">
      <c r="B98" s="8" t="s">
        <v>180</v>
      </c>
      <c r="C98" s="104">
        <f>C44</f>
        <v>0.27699999999999997</v>
      </c>
      <c r="D98" s="105"/>
      <c r="E98" s="106">
        <f>F98</f>
        <v>0.21</v>
      </c>
      <c r="F98" s="106">
        <v>0.21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6818.HK : 中国光大银行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6818.HK</v>
      </c>
      <c r="D3" s="313"/>
      <c r="E3" s="3"/>
      <c r="F3" s="9" t="s">
        <v>1</v>
      </c>
      <c r="G3" s="10">
        <v>2.8</v>
      </c>
      <c r="H3" s="11" t="s">
        <v>255</v>
      </c>
    </row>
    <row r="4" spans="1:10" ht="15.75" customHeight="1" x14ac:dyDescent="0.35">
      <c r="B4" s="12" t="s">
        <v>168</v>
      </c>
      <c r="C4" s="314" t="str">
        <f>Inputs!C5</f>
        <v>中国光大银行</v>
      </c>
      <c r="D4" s="315"/>
      <c r="E4" s="3"/>
      <c r="F4" s="9" t="s">
        <v>2</v>
      </c>
      <c r="G4" s="318">
        <f>Inputs!C10</f>
        <v>59085551061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45606</v>
      </c>
      <c r="D5" s="317"/>
      <c r="E5" s="16"/>
      <c r="F5" s="12" t="s">
        <v>91</v>
      </c>
      <c r="G5" s="321">
        <f>G3*G4/1000000</f>
        <v>165439.54297079999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>
        <f>C21*C22*C23</f>
        <v>0.31341863846073098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0.64188522926402747</v>
      </c>
      <c r="F21" s="3"/>
      <c r="G21" s="34"/>
    </row>
    <row r="22" spans="1:8" ht="15.75" customHeight="1" x14ac:dyDescent="0.35">
      <c r="B22" s="35" t="s">
        <v>243</v>
      </c>
      <c r="C22" s="36">
        <f>Data!C50</f>
        <v>4.083352877148802E-2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>
        <f>1/Data!C55</f>
        <v>11.957779064059777</v>
      </c>
      <c r="F23" s="39" t="s">
        <v>163</v>
      </c>
      <c r="G23" s="40">
        <f>G3/(Data!C36*Data!C4/Common_Shares*Exchange_Rate)</f>
        <v>0.27302859457462714</v>
      </c>
    </row>
    <row r="24" spans="1:8" ht="15.75" customHeight="1" x14ac:dyDescent="0.35">
      <c r="B24" s="41" t="s">
        <v>238</v>
      </c>
      <c r="C24" s="42">
        <f>Fin_Analysis!I81</f>
        <v>0.51643948647548221</v>
      </c>
      <c r="F24" s="39" t="s">
        <v>223</v>
      </c>
      <c r="G24" s="43">
        <f>G3/(Fin_Analysis!H86*G7)</f>
        <v>5.969112025040479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0.47519160993470294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7.9608425498008728E-2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222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2.4527791210559373</v>
      </c>
      <c r="D29" s="54">
        <f>G29*(1+G20)</f>
        <v>4.2661261627980203</v>
      </c>
      <c r="E29" s="3"/>
      <c r="F29" s="55">
        <f>IF(Fin_Analysis!C108="Profit",Fin_Analysis!F100,IF(Fin_Analysis!C108="Dividend",Fin_Analysis!F103,Fin_Analysis!F106))</f>
        <v>2.8856224953599261</v>
      </c>
      <c r="G29" s="320">
        <f>IF(Fin_Analysis!C108="Profit",Fin_Analysis!I100,IF(Fin_Analysis!C108="Dividend",Fin_Analysis!I103,Fin_Analysis!I106))</f>
        <v>3.7096749241721918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178144.33333333334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277533</v>
      </c>
      <c r="D6" s="142">
        <f>IF(Inputs!D25="","",Inputs!D25)</f>
        <v>271386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2.2650394640843619E-2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55101</v>
      </c>
      <c r="D8" s="144">
        <f>IF(Inputs!D26="","",Inputs!D26)</f>
        <v>53933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222432</v>
      </c>
      <c r="D9" s="273">
        <f t="shared" si="2"/>
        <v>217453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43909</v>
      </c>
      <c r="D10" s="144">
        <f>IF(Inputs!D27="","",Inputs!D27)</f>
        <v>45277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378.66666666666669</v>
      </c>
      <c r="D12" s="144">
        <f>IF(Inputs!D31="","",MAX(Inputs!D31,0)/(1-Fin_Analysis!$I$84))</f>
        <v>310.66666666666669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0.64188522926402747</v>
      </c>
      <c r="D13" s="292">
        <f t="shared" si="3"/>
        <v>0.63328739630391151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178144.33333333334</v>
      </c>
      <c r="D14" s="294">
        <f t="shared" ref="D14:M14" si="4">IF(D6="","",D9-D10-MAX(D11,0)-MAX(D12,0))</f>
        <v>171865.33333333334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3.6534418420623896E-2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-171632.33333333334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233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143329</v>
      </c>
      <c r="D19" s="144">
        <f>IF(Inputs!D29="","",Inputs!D29)</f>
        <v>127654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34815.333333333343</v>
      </c>
      <c r="D24" s="309">
        <f t="shared" si="9"/>
        <v>44211.333333333343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9.408430709140897E-2</v>
      </c>
      <c r="D25" s="143">
        <f t="shared" si="10"/>
        <v>0.12218205802804864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26111.500000000007</v>
      </c>
      <c r="D26" s="276">
        <f>IF(D6="","",D24*(1-Fin_Analysis!$I$84))</f>
        <v>33158.500000000007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-0.21252469200959026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6796694</v>
      </c>
      <c r="D29" s="147">
        <f>IF(D36="","",D36+D32)</f>
        <v>6300510</v>
      </c>
      <c r="E29" s="147" t="e">
        <f t="shared" ref="E29:M29" si="21">IF(E36="","",E36+E32)</f>
        <v>#VALUE!</v>
      </c>
      <c r="F29" s="147">
        <f t="shared" si="21"/>
        <v>5368163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6225829</v>
      </c>
      <c r="D32" s="144">
        <f>IF(Inputs!D37="","",Inputs!D37)</f>
        <v>5790497</v>
      </c>
      <c r="E32" s="144" t="str">
        <f>IF(Inputs!E37="","",Inputs!E37)</f>
        <v xml:space="preserve">	5,417,703</v>
      </c>
      <c r="F32" s="144">
        <f>IF(Inputs!F37="","",Inputs!F37)</f>
        <v>4913123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570865</v>
      </c>
      <c r="D36" s="144">
        <f>IF(Inputs!D41="","",Inputs!D41)</f>
        <v>510013</v>
      </c>
      <c r="E36" s="144">
        <f>IF(Inputs!E41="","",Inputs!E41)</f>
        <v>484366</v>
      </c>
      <c r="F36" s="144">
        <f>IF(Inputs!F41="","",Inputs!F41)</f>
        <v>455040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2474</v>
      </c>
      <c r="D37" s="144">
        <f>IF(Inputs!D42="","",Inputs!D42)</f>
        <v>2130</v>
      </c>
      <c r="E37" s="144">
        <f>IF(Inputs!E42="","",Inputs!E42)</f>
        <v>1877</v>
      </c>
      <c r="F37" s="144">
        <f>IF(Inputs!F42="","",Inputs!F42)</f>
        <v>1570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6796694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2.6210438977145849E-2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0.19853855217217412</v>
      </c>
      <c r="D42" s="150">
        <f t="shared" si="35"/>
        <v>0.19873169581334335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0.15821181625248168</v>
      </c>
      <c r="D43" s="146">
        <f t="shared" si="36"/>
        <v>0.16683616693565623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0.51643948647548221</v>
      </c>
      <c r="D45" s="146">
        <f t="shared" si="38"/>
        <v>0.47037798559984673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1.3644023113167324E-3</v>
      </c>
      <c r="D46" s="146">
        <f t="shared" si="39"/>
        <v>1.1447409470888943E-3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0.12544574278854531</v>
      </c>
      <c r="D48" s="281">
        <f t="shared" si="41"/>
        <v>0.16290941070406484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>
        <f t="shared" ref="C50:M50" si="42">IF(C6="","",C6/C29)</f>
        <v>4.083352877148802E-2</v>
      </c>
      <c r="D50" s="153">
        <f t="shared" si="42"/>
        <v>4.3073655942138016E-2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>
        <f t="shared" ref="C55:M55" si="46">IF(C36="","",(C36-C37)/C29)</f>
        <v>8.3627569521299613E-2</v>
      </c>
      <c r="D55" s="150">
        <f t="shared" si="46"/>
        <v>8.0609823649196652E-2</v>
      </c>
      <c r="E55" s="150" t="e">
        <f t="shared" si="46"/>
        <v>#VALUE!</v>
      </c>
      <c r="F55" s="150">
        <f t="shared" si="46"/>
        <v>8.4473962508217426E-2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4.1168354939394511</v>
      </c>
      <c r="D57" s="146">
        <f t="shared" si="48"/>
        <v>2.8873591989987477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>
        <f>IF(D36="","",IF(Inputs!D38=0,0,Inputs!D38/D29))</f>
        <v>0.22139826775927662</v>
      </c>
      <c r="E58" s="146" t="e">
        <f>IF(E36="","",IF(Inputs!E38=0,0,Inputs!E38/E29))</f>
        <v>#VALUE!</v>
      </c>
      <c r="F58" s="146">
        <f>IF(F36="","",IF(Inputs!F38=0,0,Inputs!F38/F29))</f>
        <v>0.27758713735033752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>
        <f t="shared" ref="C60:M60" si="50">IF(C14="","",C14/(C36-C37))</f>
        <v>0.31341863846073098</v>
      </c>
      <c r="D60" s="156">
        <f t="shared" si="50"/>
        <v>0.33839552285336061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>
        <f t="shared" ref="C61:M61" si="51">IF(C24="","",C24/(C36-C37))</f>
        <v>6.1252435969840029E-2</v>
      </c>
      <c r="D61" s="156">
        <f t="shared" si="51"/>
        <v>8.70502326979508E-2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570865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568391</v>
      </c>
      <c r="K3" s="75"/>
    </row>
    <row r="4" spans="1:11" ht="15" customHeight="1" x14ac:dyDescent="0.35">
      <c r="B4" s="9" t="s">
        <v>21</v>
      </c>
      <c r="C4" s="3"/>
      <c r="D4" s="144">
        <f>Inputs!C42</f>
        <v>2474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-6228303</v>
      </c>
      <c r="E6" s="170">
        <f>1-D6/D3</f>
        <v>11.910290524029325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6225829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6225829</v>
      </c>
      <c r="J48" s="187"/>
    </row>
    <row r="49" spans="2:11" ht="15" customHeight="1" thickTop="1" x14ac:dyDescent="0.35">
      <c r="B49" s="9" t="s">
        <v>13</v>
      </c>
      <c r="C49" s="184">
        <f>Inputs!C41+Inputs!C37</f>
        <v>6796694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6225829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2474</v>
      </c>
      <c r="D53" s="34">
        <f>IF(E53=0, 0,E53/C53)</f>
        <v>1</v>
      </c>
      <c r="E53" s="176">
        <f>IF(C53=0,0,MAX(C53,C53*Dashboard!G23))</f>
        <v>2474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-111.84425187090827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-111.84425187090827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-111.84425187090827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6796694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6225829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570865</v>
      </c>
      <c r="D70" s="34">
        <f t="shared" si="2"/>
        <v>-10.905956749844535</v>
      </c>
      <c r="E70" s="202">
        <f>E68-E69</f>
        <v>-6225829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277533</v>
      </c>
      <c r="D74" s="98"/>
      <c r="E74" s="256">
        <f>Inputs!E91</f>
        <v>277533</v>
      </c>
      <c r="F74" s="98"/>
      <c r="H74" s="256">
        <f>Inputs!F91</f>
        <v>277533</v>
      </c>
      <c r="I74" s="98"/>
      <c r="K74" s="75"/>
    </row>
    <row r="75" spans="1:11" ht="15" customHeight="1" x14ac:dyDescent="0.35">
      <c r="B75" s="100" t="s">
        <v>97</v>
      </c>
      <c r="C75" s="97">
        <f>Data!C8</f>
        <v>55101</v>
      </c>
      <c r="D75" s="101">
        <f>C75/$C$74</f>
        <v>0.19853855217217412</v>
      </c>
      <c r="E75" s="256">
        <f>Inputs!E92</f>
        <v>55101</v>
      </c>
      <c r="F75" s="211">
        <f>E75/E74</f>
        <v>0.19853855217217412</v>
      </c>
      <c r="H75" s="256">
        <f>Inputs!F92</f>
        <v>55101</v>
      </c>
      <c r="I75" s="211">
        <f>H75/$H$74</f>
        <v>0.19853855217217412</v>
      </c>
      <c r="K75" s="75"/>
    </row>
    <row r="76" spans="1:11" ht="15" customHeight="1" x14ac:dyDescent="0.35">
      <c r="B76" s="12" t="s">
        <v>87</v>
      </c>
      <c r="C76" s="145">
        <f>C74-C75</f>
        <v>222432</v>
      </c>
      <c r="D76" s="212"/>
      <c r="E76" s="213">
        <f>E74-E75</f>
        <v>222432</v>
      </c>
      <c r="F76" s="212"/>
      <c r="H76" s="213">
        <f>H74-H75</f>
        <v>222432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43909</v>
      </c>
      <c r="D77" s="101">
        <f>C77/$C$74</f>
        <v>0.15821181625248168</v>
      </c>
      <c r="E77" s="256">
        <f>Inputs!E93</f>
        <v>43909</v>
      </c>
      <c r="F77" s="211">
        <f>E77/E74</f>
        <v>0.15821181625248168</v>
      </c>
      <c r="H77" s="256">
        <f>Inputs!F93</f>
        <v>43909</v>
      </c>
      <c r="I77" s="211">
        <f>H77/$H$74</f>
        <v>0.15821181625248168</v>
      </c>
      <c r="K77" s="75"/>
    </row>
    <row r="78" spans="1:11" ht="15" customHeight="1" x14ac:dyDescent="0.35">
      <c r="B78" s="93" t="s">
        <v>150</v>
      </c>
      <c r="C78" s="97">
        <f>MAX(Data!C12,0)</f>
        <v>378.66666666666669</v>
      </c>
      <c r="D78" s="101">
        <f>C78/$C$74</f>
        <v>1.3644023113167324E-3</v>
      </c>
      <c r="E78" s="214">
        <f>E74*F78</f>
        <v>378.66666666666669</v>
      </c>
      <c r="F78" s="211">
        <f>I78</f>
        <v>1.3644023113167324E-3</v>
      </c>
      <c r="H78" s="256">
        <f>Inputs!F97</f>
        <v>378.66666666666669</v>
      </c>
      <c r="I78" s="211">
        <f>H78/$H$74</f>
        <v>1.3644023113167324E-3</v>
      </c>
      <c r="K78" s="75"/>
    </row>
    <row r="79" spans="1:11" ht="15" customHeight="1" x14ac:dyDescent="0.35">
      <c r="B79" s="215" t="s">
        <v>203</v>
      </c>
      <c r="C79" s="216">
        <f>C76-C77-C78</f>
        <v>178144.33333333334</v>
      </c>
      <c r="D79" s="217">
        <f>C79/C74</f>
        <v>0.64188522926402747</v>
      </c>
      <c r="E79" s="218">
        <f>E76-E77-E78</f>
        <v>178144.33333333334</v>
      </c>
      <c r="F79" s="217">
        <f>E79/E74</f>
        <v>0.64188522926402747</v>
      </c>
      <c r="G79" s="219"/>
      <c r="H79" s="218">
        <f>H76-H77-H78</f>
        <v>178144.33333333334</v>
      </c>
      <c r="I79" s="217">
        <f>H79/H74</f>
        <v>0.64188522926402747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143329</v>
      </c>
      <c r="D81" s="101">
        <f>C81/$C$74</f>
        <v>0.51643948647548221</v>
      </c>
      <c r="E81" s="214">
        <f>E74*F81</f>
        <v>143329</v>
      </c>
      <c r="F81" s="211">
        <f>I81</f>
        <v>0.51643948647548221</v>
      </c>
      <c r="H81" s="256">
        <f>Inputs!F94</f>
        <v>143329</v>
      </c>
      <c r="I81" s="211">
        <f>H81/$H$74</f>
        <v>0.51643948647548221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34815.333333333343</v>
      </c>
      <c r="D83" s="223">
        <f>C83/$C$74</f>
        <v>0.12544574278854531</v>
      </c>
      <c r="E83" s="224">
        <f>E79-E81-E82-E80</f>
        <v>34815.333333333343</v>
      </c>
      <c r="F83" s="223">
        <f>E83/E74</f>
        <v>0.12544574278854531</v>
      </c>
      <c r="H83" s="224">
        <f>H79-H81-H82-H80</f>
        <v>34815.333333333343</v>
      </c>
      <c r="I83" s="223">
        <f>H83/$H$74</f>
        <v>0.12544574278854531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26111.500000000007</v>
      </c>
      <c r="D85" s="217">
        <f>C85/$C$74</f>
        <v>9.408430709140897E-2</v>
      </c>
      <c r="E85" s="229">
        <f>E83*(1-F84)</f>
        <v>26111.500000000007</v>
      </c>
      <c r="F85" s="217">
        <f>E85/E74</f>
        <v>9.408430709140897E-2</v>
      </c>
      <c r="G85" s="219"/>
      <c r="H85" s="229">
        <f>H83*(1-I84)</f>
        <v>26111.500000000007</v>
      </c>
      <c r="I85" s="217">
        <f>H85/$H$74</f>
        <v>9.408430709140897E-2</v>
      </c>
      <c r="K85" s="75"/>
    </row>
    <row r="86" spans="1:11" ht="15" customHeight="1" x14ac:dyDescent="0.35">
      <c r="B86" s="3" t="s">
        <v>143</v>
      </c>
      <c r="C86" s="230">
        <f>C85*Data!C4/Common_Shares</f>
        <v>0.44192699452091866</v>
      </c>
      <c r="D86" s="98"/>
      <c r="E86" s="231">
        <f>E85*Data!C4/Common_Shares</f>
        <v>0.44192699452091866</v>
      </c>
      <c r="F86" s="98"/>
      <c r="H86" s="231">
        <f>H85*Data!C4/Common_Shares</f>
        <v>0.44192699452091866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0.1675291058041784</v>
      </c>
      <c r="D87" s="98"/>
      <c r="E87" s="233">
        <f>E86*Exchange_Rate/Dashboard!G3</f>
        <v>0.1675291058041784</v>
      </c>
      <c r="F87" s="98"/>
      <c r="H87" s="233">
        <f>H86*Exchange_Rate/Dashboard!G3</f>
        <v>0.1675291058041784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0.27699999999999997</v>
      </c>
      <c r="D88" s="235">
        <f>C88/C86</f>
        <v>0.6268003616757748</v>
      </c>
      <c r="E88" s="255">
        <f>Inputs!E98</f>
        <v>0.21</v>
      </c>
      <c r="F88" s="235">
        <f>E88/E86</f>
        <v>0.47519160993470294</v>
      </c>
      <c r="H88" s="255">
        <f>Inputs!F98</f>
        <v>0.21</v>
      </c>
      <c r="I88" s="235">
        <f>H88/H86</f>
        <v>0.47519160993470294</v>
      </c>
      <c r="K88" s="75"/>
    </row>
    <row r="89" spans="1:11" ht="15" customHeight="1" x14ac:dyDescent="0.35">
      <c r="B89" s="3" t="s">
        <v>193</v>
      </c>
      <c r="C89" s="232">
        <f>C88*Exchange_Rate/Dashboard!G3</f>
        <v>0.10500730410927817</v>
      </c>
      <c r="D89" s="98"/>
      <c r="E89" s="232">
        <f>E88*Exchange_Rate/Dashboard!G3</f>
        <v>7.9608425498008728E-2</v>
      </c>
      <c r="F89" s="98"/>
      <c r="H89" s="232">
        <f>H88*Exchange_Rate/Dashboard!G3</f>
        <v>7.9608425498008728E-2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14.526731708160765</v>
      </c>
      <c r="H93" s="3" t="s">
        <v>182</v>
      </c>
      <c r="I93" s="237">
        <f>FV(H87,D93,0,-(H86/(C93-D94)))*Exchange_Rate</f>
        <v>14.526731708160765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5.046971779525105</v>
      </c>
      <c r="H94" s="3" t="s">
        <v>183</v>
      </c>
      <c r="I94" s="237">
        <f>FV(H89,D93,0,-(H88/(C93-D94)))*Exchange_Rate</f>
        <v>5.046971779525105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490747.21607883379</v>
      </c>
      <c r="D97" s="244"/>
      <c r="E97" s="245">
        <f>PV(C94,D93,0,-F93)</f>
        <v>8.3057060020001465</v>
      </c>
      <c r="F97" s="244"/>
      <c r="H97" s="245">
        <f>PV(C94,D93,0,-I93)</f>
        <v>8.3057060020001465</v>
      </c>
      <c r="I97" s="245">
        <f>PV(C93,D93,0,-I93)</f>
        <v>10.677581469062977</v>
      </c>
      <c r="K97" s="75"/>
    </row>
    <row r="98" spans="2:11" ht="15" customHeight="1" x14ac:dyDescent="0.35">
      <c r="B98" s="18" t="s">
        <v>132</v>
      </c>
      <c r="C98" s="243">
        <f>-E53*Exchange_Rate</f>
        <v>-2626.0165957609811</v>
      </c>
      <c r="D98" s="244"/>
      <c r="E98" s="244"/>
      <c r="F98" s="244"/>
      <c r="H98" s="245">
        <f>C98*Data!$C$4/Common_Shares</f>
        <v>-4.4444310810436177E-2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-6608379.2547978954</v>
      </c>
      <c r="D99" s="248"/>
      <c r="E99" s="249">
        <f>IF(H99&gt;0,I64,H99)</f>
        <v>-111.84425187090827</v>
      </c>
      <c r="F99" s="248"/>
      <c r="H99" s="249">
        <f>I64</f>
        <v>-111.84425187090827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2.4527791210559373</v>
      </c>
      <c r="E103" s="245">
        <f>PV(C94,D93,0,-F94)</f>
        <v>2.8856224953599261</v>
      </c>
      <c r="F103" s="251">
        <f>(E103+H103)/2</f>
        <v>2.8856224953599261</v>
      </c>
      <c r="H103" s="245">
        <f>PV(C94,D93,0,-I94)</f>
        <v>2.8856224953599261</v>
      </c>
      <c r="I103" s="251">
        <f>PV(C93,D93,0,-I94)</f>
        <v>3.7096749241721918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1.2263895605279687</v>
      </c>
      <c r="E106" s="245">
        <f>(E100+E103)/2</f>
        <v>1.442811247679963</v>
      </c>
      <c r="F106" s="251">
        <f>(F100+F103)/2</f>
        <v>1.442811247679963</v>
      </c>
      <c r="H106" s="245">
        <f>(H100+H103)/2</f>
        <v>1.442811247679963</v>
      </c>
      <c r="I106" s="245">
        <f>(I100+I103)/2</f>
        <v>1.8548374620860959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