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E87408-8277-42CF-BA8B-85A8E6FE91D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F96" i="4" l="1"/>
  <c r="E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<sst xmlns="http://schemas.openxmlformats.org/spreadsheetml/2006/main" count="405" uniqueCount="290">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</sst>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1209170048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286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280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26640</v>
      </c>
      <c r="D25" s="77">
        <v>26485</v>
      </c>
      <c r="E25" s="77">
        <v>26042</v>
      </c>
      <c r="F25" s="77">
        <v>26185</v>
      </c>
      <c r="G25" s="77">
        <v>24977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17657</v>
      </c>
      <c r="D26" s="78">
        <v>18250</v>
      </c>
      <c r="E26" s="78">
        <v>17347</v>
      </c>
      <c r="F26" s="78">
        <v>17028</v>
      </c>
      <c r="G26" s="78">
        <v>16782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3578</v>
      </c>
      <c r="D27" s="78">
        <v>3169</v>
      </c>
      <c r="E27" s="78">
        <v>3235</v>
      </c>
      <c r="F27" s="78">
        <v>3284</v>
      </c>
      <c r="G27" s="78">
        <v>2627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912</v>
      </c>
      <c r="D29" s="78">
        <v>921</v>
      </c>
      <c r="E29" s="78">
        <v>2047</v>
      </c>
      <c r="F29" s="78">
        <v>1394</v>
      </c>
      <c r="G29" s="78">
        <v>1361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-5</v>
      </c>
      <c r="E30" s="302">
        <v>-12</v>
      </c>
      <c r="F30" s="302">
        <v>-5</v>
      </c>
      <c r="G30" s="302">
        <v>2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</v>
      </c>
      <c r="D31" s="78">
        <v>-5</v>
      </c>
      <c r="E31" s="78">
        <v>-12</v>
      </c>
      <c r="F31" s="78">
        <v>-5</v>
      </c>
      <c r="G31" s="78">
        <v>2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-368</v>
      </c>
      <c r="D32" s="78">
        <v>-1291</v>
      </c>
      <c r="E32" s="78">
        <v>2364</v>
      </c>
      <c r="F32" s="78">
        <v>-580</v>
      </c>
      <c r="G32" s="78">
        <v>1736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961</v>
      </c>
      <c r="D33" s="78">
        <v>933</v>
      </c>
      <c r="E33" s="78">
        <v>910</v>
      </c>
      <c r="F33" s="78">
        <v>969</v>
      </c>
      <c r="G33" s="78">
        <v>994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1013</v>
      </c>
      <c r="D34" s="78">
        <v>916</v>
      </c>
      <c r="E34" s="78">
        <v>905</v>
      </c>
      <c r="F34" s="78">
        <v>596</v>
      </c>
      <c r="G34" s="78">
        <v>768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40617</v>
      </c>
      <c r="D37" s="78">
        <v>41643</v>
      </c>
      <c r="E37" s="78">
        <v>43942</v>
      </c>
      <c r="F37" s="78">
        <v>49587</v>
      </c>
      <c r="G37" s="78">
        <v>49701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49526</v>
      </c>
      <c r="D41" s="302">
        <v>48678</v>
      </c>
      <c r="E41" s="302">
        <v>49298</v>
      </c>
      <c r="F41" s="302">
        <v>50103</v>
      </c>
      <c r="G41" s="302">
        <v>51623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196</v>
      </c>
      <c r="D42" s="78">
        <v>192</v>
      </c>
      <c r="E42" s="78">
        <v>154</v>
      </c>
      <c r="F42" s="78">
        <v>140</v>
      </c>
      <c r="G42" s="78">
        <v>126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0.4*4</f>
        <v>1.6</v>
      </c>
      <c r="D44" s="81">
        <f>0.4*4</f>
        <v>1.6</v>
      </c>
      <c r="E44" s="81">
        <f t="shared" ref="E44:G44" si="1">0.4*4</f>
        <v>1.6</v>
      </c>
      <c r="F44" s="81">
        <f t="shared" si="1"/>
        <v>1.6</v>
      </c>
      <c r="G44" s="81">
        <f t="shared" si="1"/>
        <v>1.6</v>
      </c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5.5594162612925643E-2</v>
      </c>
      <c r="D45" s="82">
        <f>IF(D44="","",D44*Exchange_Rate/Dashboard!$G$3)</f>
        <v>5.5594162612925643E-2</v>
      </c>
      <c r="E45" s="82">
        <f>IF(E44="","",E44*Exchange_Rate/Dashboard!$G$3)</f>
        <v>5.5594162612925643E-2</v>
      </c>
      <c r="F45" s="82">
        <f>IF(F44="","",F44*Exchange_Rate/Dashboard!$G$3)</f>
        <v>5.5594162612925643E-2</v>
      </c>
      <c r="G45" s="82">
        <f>IF(G44="","",G44*Exchange_Rate/Dashboard!$G$3)</f>
        <v>5.5594162612925643E-2</v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26640</v>
      </c>
      <c r="D91" s="98"/>
      <c r="E91" s="99">
        <f>C91</f>
        <v>26640</v>
      </c>
      <c r="F91" s="99">
        <f>C91</f>
        <v>26640</v>
      </c>
    </row>
    <row r="92" spans="2:8" x14ac:dyDescent="0.35">
      <c r="B92" s="100" t="s">
        <v>97</v>
      </c>
      <c r="C92" s="97">
        <f>C26</f>
        <v>17657</v>
      </c>
      <c r="D92" s="101">
        <f>C92/C91</f>
        <v>0.66280030030030035</v>
      </c>
      <c r="E92" s="102">
        <f>E91*D92</f>
        <v>17657</v>
      </c>
      <c r="F92" s="102">
        <f>F91*D92</f>
        <v>17657</v>
      </c>
    </row>
    <row r="93" spans="2:8" x14ac:dyDescent="0.35">
      <c r="B93" s="100" t="s">
        <v>216</v>
      </c>
      <c r="C93" s="97">
        <f>C27+C28</f>
        <v>3578</v>
      </c>
      <c r="D93" s="101">
        <f>C93/C91</f>
        <v>0.13430930930930932</v>
      </c>
      <c r="E93" s="102">
        <f>E91*D93</f>
        <v>3578</v>
      </c>
      <c r="F93" s="102">
        <f>F91*D93</f>
        <v>3578</v>
      </c>
    </row>
    <row r="94" spans="2:8" x14ac:dyDescent="0.35">
      <c r="B94" s="100" t="s">
        <v>222</v>
      </c>
      <c r="C94" s="97">
        <f>C29</f>
        <v>912</v>
      </c>
      <c r="D94" s="101">
        <f>C94/C91</f>
        <v>3.4234234234234232E-2</v>
      </c>
      <c r="E94" s="103"/>
      <c r="F94" s="102">
        <f>F91*D94</f>
        <v>911.99999999999989</v>
      </c>
    </row>
    <row r="95" spans="2:8" x14ac:dyDescent="0.35">
      <c r="B95" s="18" t="s">
        <v>215</v>
      </c>
      <c r="C95" s="97">
        <f>ABS(MAX(C34,0)-C33)</f>
        <v>52</v>
      </c>
      <c r="D95" s="101">
        <f>C95/C91</f>
        <v>1.9519519519519519E-3</v>
      </c>
      <c r="E95" s="102">
        <f>E91*D95</f>
        <v>52</v>
      </c>
      <c r="F95" s="102">
        <f>F91*D95</f>
        <v>52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</v>
      </c>
      <c r="D97" s="101">
        <f>C97/C91</f>
        <v>4.5045045045045046E-4</v>
      </c>
      <c r="E97" s="103"/>
      <c r="F97" s="102">
        <f>F91*D97</f>
        <v>12</v>
      </c>
    </row>
    <row r="98" spans="2:6" x14ac:dyDescent="0.35">
      <c r="B98" s="8" t="s">
        <v>180</v>
      </c>
      <c r="C98" s="104">
        <f>C44</f>
        <v>1.6</v>
      </c>
      <c r="D98" s="105"/>
      <c r="E98" s="106">
        <f>F98</f>
        <v>1.6</v>
      </c>
      <c r="F98" s="106">
        <f>C98</f>
        <v>1.6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KHC</v>
      </c>
      <c r="D3" s="313"/>
      <c r="E3" s="3"/>
      <c r="F3" s="9" t="s">
        <v>1</v>
      </c>
      <c r="G3" s="10">
        <v>28.78</v>
      </c>
      <c r="H3" s="11" t="s">
        <v>289</v>
      </c>
    </row>
    <row r="4" spans="1:10" ht="15.75" customHeight="1" x14ac:dyDescent="0.35">
      <c r="B4" s="12" t="s">
        <v>168</v>
      </c>
      <c r="C4" s="314" t="str">
        <f>Inputs!C5</f>
        <v>Kraft Heinz Co.</v>
      </c>
      <c r="D4" s="315"/>
      <c r="E4" s="3"/>
      <c r="F4" s="9" t="s">
        <v>2</v>
      </c>
      <c r="G4" s="318">
        <f>Inputs!C10</f>
        <v>1209170048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45644</v>
      </c>
      <c r="D5" s="317"/>
      <c r="E5" s="16"/>
      <c r="F5" s="12" t="s">
        <v>91</v>
      </c>
      <c r="G5" s="321">
        <f>G3*G4/1000000</f>
        <v>34799.913981440004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1</v>
      </c>
      <c r="D7" s="123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0.10932495438881006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0.29553043497553888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1.8273464423271844</v>
      </c>
      <c r="F23" s="39" t="s">
        <v>163</v>
      </c>
      <c r="G23" s="40">
        <f>G3/(Data!C36*Data!C4/Common_Shares*Exchange_Rate)</f>
        <v>0.70265949160925567</v>
      </c>
    </row>
    <row r="24" spans="1:8" ht="15.75" customHeight="1" x14ac:dyDescent="0.35">
      <c r="B24" s="41" t="s">
        <v>239</v>
      </c>
      <c r="C24" s="42">
        <f>Fin_Analysis!I81</f>
        <v>3.4234234234234232E-2</v>
      </c>
      <c r="F24" s="39" t="s">
        <v>224</v>
      </c>
      <c r="G24" s="43">
        <f>G3/(Fin_Analysis!H86*G7)</f>
        <v>10.476379613589224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0.58242555183261846</v>
      </c>
    </row>
    <row r="26" spans="1:8" ht="15.75" customHeight="1" x14ac:dyDescent="0.35">
      <c r="B26" s="45" t="s">
        <v>241</v>
      </c>
      <c r="C26" s="44">
        <f>Fin_Analysis!I80+Fin_Analysis!I82</f>
        <v>1.9519519519519519E-3</v>
      </c>
      <c r="F26" s="46" t="s">
        <v>166</v>
      </c>
      <c r="G26" s="47">
        <f>Fin_Analysis!H88*Exchange_Rate/G3</f>
        <v>5.5594162612925643E-2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14.535328093459386</v>
      </c>
      <c r="D29" s="54">
        <f>G29*(1+G20)</f>
        <v>32.728001173525719</v>
      </c>
      <c r="E29" s="3"/>
      <c r="F29" s="55">
        <f>IF(Fin_Analysis!C108="Profit",Fin_Analysis!F100,IF(Fin_Analysis!C108="Dividend",Fin_Analysis!F103,Fin_Analysis!F106))</f>
        <v>17.10038599230516</v>
      </c>
      <c r="G29" s="320">
        <f>IF(Fin_Analysis!C108="Profit",Fin_Analysis!I100,IF(Fin_Analysis!C108="Dividend",Fin_Analysis!I103,Fin_Analysis!I106))</f>
        <v>28.459131455239756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5393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26640</v>
      </c>
      <c r="D6" s="142">
        <f>IF(Inputs!D25="","",Inputs!D25)</f>
        <v>26485</v>
      </c>
      <c r="E6" s="142">
        <f>IF(Inputs!E25="","",Inputs!E25)</f>
        <v>26042</v>
      </c>
      <c r="F6" s="142">
        <f>IF(Inputs!F25="","",Inputs!F25)</f>
        <v>26185</v>
      </c>
      <c r="G6" s="142">
        <f>IF(Inputs!G25="","",Inputs!G25)</f>
        <v>24977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5.8523692656220483E-3</v>
      </c>
      <c r="D7" s="143">
        <f t="shared" si="1"/>
        <v>1.7010982259427099E-2</v>
      </c>
      <c r="E7" s="143">
        <f t="shared" si="1"/>
        <v>-5.4611418751193685E-3</v>
      </c>
      <c r="F7" s="143">
        <f t="shared" si="1"/>
        <v>4.8364495335708746E-2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17657</v>
      </c>
      <c r="D8" s="144">
        <f>IF(Inputs!D26="","",Inputs!D26)</f>
        <v>18250</v>
      </c>
      <c r="E8" s="144">
        <f>IF(Inputs!E26="","",Inputs!E26)</f>
        <v>17347</v>
      </c>
      <c r="F8" s="144">
        <f>IF(Inputs!F26="","",Inputs!F26)</f>
        <v>17028</v>
      </c>
      <c r="G8" s="144">
        <f>IF(Inputs!G26="","",Inputs!G26)</f>
        <v>16782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8983</v>
      </c>
      <c r="D9" s="273">
        <f t="shared" si="2"/>
        <v>8235</v>
      </c>
      <c r="E9" s="273">
        <f t="shared" si="2"/>
        <v>8695</v>
      </c>
      <c r="F9" s="273">
        <f t="shared" si="2"/>
        <v>9157</v>
      </c>
      <c r="G9" s="273">
        <f t="shared" si="2"/>
        <v>8195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3578</v>
      </c>
      <c r="D10" s="144">
        <f>IF(Inputs!D27="","",Inputs!D27)</f>
        <v>3169</v>
      </c>
      <c r="E10" s="144">
        <f>IF(Inputs!E27="","",Inputs!E27)</f>
        <v>3235</v>
      </c>
      <c r="F10" s="144">
        <f>IF(Inputs!F27="","",Inputs!F27)</f>
        <v>3284</v>
      </c>
      <c r="G10" s="144">
        <f>IF(Inputs!G27="","",Inputs!G27)</f>
        <v>2627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2.6666666666666665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0.20243993993993994</v>
      </c>
      <c r="D13" s="292">
        <f t="shared" si="3"/>
        <v>0.19127808193316972</v>
      </c>
      <c r="E13" s="292">
        <f t="shared" si="3"/>
        <v>0.20966131633515092</v>
      </c>
      <c r="F13" s="292">
        <f t="shared" si="3"/>
        <v>0.22428871491311819</v>
      </c>
      <c r="G13" s="292">
        <f t="shared" si="3"/>
        <v>0.22281832619343128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5393</v>
      </c>
      <c r="D14" s="294">
        <f t="shared" ref="D14:M14" si="4">IF(D6="","",D9-D10-MAX(D11,0)-MAX(D12,0))</f>
        <v>5066</v>
      </c>
      <c r="E14" s="294">
        <f t="shared" si="4"/>
        <v>5460</v>
      </c>
      <c r="F14" s="294">
        <f t="shared" si="4"/>
        <v>5873</v>
      </c>
      <c r="G14" s="294">
        <f t="shared" si="4"/>
        <v>5565.333333333333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6.4547966837741805E-2</v>
      </c>
      <c r="D15" s="296">
        <f t="shared" ref="D15:M15" si="5">IF(E14="","",IF(ABS(D14+E14)=ABS(D14)+ABS(E14),IF(D14&lt;0,-1,1)*(D14-E14)/E14,"Turn"))</f>
        <v>-7.2161172161172155E-2</v>
      </c>
      <c r="E15" s="296">
        <f t="shared" si="5"/>
        <v>-7.0321811680572111E-2</v>
      </c>
      <c r="F15" s="296">
        <f t="shared" si="5"/>
        <v>5.528270244369915E-2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-5071</v>
      </c>
      <c r="E16" s="147">
        <f t="shared" si="6"/>
        <v>-5472</v>
      </c>
      <c r="F16" s="147">
        <f t="shared" si="6"/>
        <v>-5878</v>
      </c>
      <c r="G16" s="147">
        <f t="shared" si="6"/>
        <v>-5563.333333333333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-5</v>
      </c>
      <c r="E17" s="307">
        <f>IF(Inputs!E30="","",Inputs!E30)</f>
        <v>-12</v>
      </c>
      <c r="F17" s="307">
        <f>IF(Inputs!F30="","",Inputs!F30)</f>
        <v>-5</v>
      </c>
      <c r="G17" s="307">
        <f>IF(Inputs!G30="","",Inputs!G30)</f>
        <v>2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-368</v>
      </c>
      <c r="D18" s="144">
        <f>IF(Inputs!D32="","",Inputs!D32)</f>
        <v>-1291</v>
      </c>
      <c r="E18" s="144">
        <f>IF(Inputs!E32="","",Inputs!E32)</f>
        <v>2364</v>
      </c>
      <c r="F18" s="144">
        <f>IF(Inputs!F32="","",Inputs!F32)</f>
        <v>-580</v>
      </c>
      <c r="G18" s="144">
        <f>IF(Inputs!G32="","",Inputs!G32)</f>
        <v>1736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912</v>
      </c>
      <c r="D19" s="144">
        <f>IF(Inputs!D29="","",Inputs!D29)</f>
        <v>921</v>
      </c>
      <c r="E19" s="144">
        <f>IF(Inputs!E29="","",Inputs!E29)</f>
        <v>2047</v>
      </c>
      <c r="F19" s="144">
        <f>IF(Inputs!F29="","",Inputs!F29)</f>
        <v>1394</v>
      </c>
      <c r="G19" s="144">
        <f>IF(Inputs!G29="","",Inputs!G29)</f>
        <v>1361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3.6073573573573575E-2</v>
      </c>
      <c r="D20" s="227">
        <f t="shared" si="7"/>
        <v>3.5227487256937889E-2</v>
      </c>
      <c r="E20" s="227">
        <f t="shared" si="7"/>
        <v>3.4943552722525154E-2</v>
      </c>
      <c r="F20" s="227">
        <f t="shared" si="7"/>
        <v>3.700591941951499E-2</v>
      </c>
      <c r="G20" s="227">
        <f t="shared" si="7"/>
        <v>3.9796612883853145E-2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961</v>
      </c>
      <c r="D21" s="144">
        <f>IF(Inputs!D33="","",Inputs!D33)</f>
        <v>933</v>
      </c>
      <c r="E21" s="144">
        <f>IF(Inputs!E33="","",Inputs!E33)</f>
        <v>910</v>
      </c>
      <c r="F21" s="144">
        <f>IF(Inputs!F33="","",Inputs!F33)</f>
        <v>969</v>
      </c>
      <c r="G21" s="144">
        <f>IF(Inputs!G33="","",Inputs!G33)</f>
        <v>994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3.8025525525525523E-2</v>
      </c>
      <c r="D22" s="227">
        <f t="shared" si="8"/>
        <v>3.4585614498772892E-2</v>
      </c>
      <c r="E22" s="227">
        <f t="shared" si="8"/>
        <v>3.4751555180093693E-2</v>
      </c>
      <c r="F22" s="227">
        <f t="shared" si="8"/>
        <v>2.276112278021768E-2</v>
      </c>
      <c r="G22" s="227">
        <f t="shared" si="8"/>
        <v>3.0748288425351322E-2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1013</v>
      </c>
      <c r="D23" s="144">
        <f>IF(Inputs!D34="","",Inputs!D34)</f>
        <v>916</v>
      </c>
      <c r="E23" s="144">
        <f>IF(Inputs!E34="","",Inputs!E34)</f>
        <v>905</v>
      </c>
      <c r="F23" s="144">
        <f>IF(Inputs!F34="","",Inputs!F34)</f>
        <v>596</v>
      </c>
      <c r="G23" s="144">
        <f>IF(Inputs!G34="","",Inputs!G34)</f>
        <v>768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4429</v>
      </c>
      <c r="D24" s="309">
        <f t="shared" si="9"/>
        <v>4128</v>
      </c>
      <c r="E24" s="309">
        <f t="shared" si="9"/>
        <v>1044</v>
      </c>
      <c r="F24" s="309">
        <f t="shared" si="9"/>
        <v>4106</v>
      </c>
      <c r="G24" s="309">
        <f t="shared" si="9"/>
        <v>2242.333333333333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0.12469031531531531</v>
      </c>
      <c r="D25" s="143">
        <f t="shared" si="10"/>
        <v>0.11689635642816688</v>
      </c>
      <c r="E25" s="143">
        <f t="shared" si="10"/>
        <v>3.0066815144766147E-2</v>
      </c>
      <c r="F25" s="143">
        <f t="shared" si="10"/>
        <v>0.11760549933167844</v>
      </c>
      <c r="G25" s="143">
        <f t="shared" si="10"/>
        <v>6.7331945389758563E-2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3321.75</v>
      </c>
      <c r="D26" s="276">
        <f>IF(D6="","",D24*(1-Fin_Analysis!$I$84))</f>
        <v>3096</v>
      </c>
      <c r="E26" s="276">
        <f>IF(E6="","",E24*(1-Fin_Analysis!$I$84))</f>
        <v>783</v>
      </c>
      <c r="F26" s="276">
        <f>IF(F6="","",F24*(1-Fin_Analysis!$I$84))</f>
        <v>3079.5</v>
      </c>
      <c r="G26" s="276">
        <f>IF(G6="","",G24*(1-Fin_Analysis!$I$84))</f>
        <v>1681.7499999999998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7.2916666666666671E-2</v>
      </c>
      <c r="D27" s="305">
        <f t="shared" si="11"/>
        <v>2.9540229885057472</v>
      </c>
      <c r="E27" s="305">
        <f t="shared" si="11"/>
        <v>-0.7457379444715051</v>
      </c>
      <c r="F27" s="305">
        <f t="shared" si="11"/>
        <v>0.83112828898468882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90143</v>
      </c>
      <c r="D29" s="147">
        <f>IF(D36="","",D36+D32)</f>
        <v>90321</v>
      </c>
      <c r="E29" s="147">
        <f t="shared" ref="E29:M29" si="21">IF(E36="","",E36+E32)</f>
        <v>93240</v>
      </c>
      <c r="F29" s="147">
        <f t="shared" si="21"/>
        <v>99690</v>
      </c>
      <c r="G29" s="147">
        <f t="shared" si="21"/>
        <v>101324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40617</v>
      </c>
      <c r="D32" s="144">
        <f>IF(Inputs!D37="","",Inputs!D37)</f>
        <v>41643</v>
      </c>
      <c r="E32" s="144">
        <f>IF(Inputs!E37="","",Inputs!E37)</f>
        <v>43942</v>
      </c>
      <c r="F32" s="144">
        <f>IF(Inputs!F37="","",Inputs!F37)</f>
        <v>49587</v>
      </c>
      <c r="G32" s="144">
        <f>IF(Inputs!G37="","",Inputs!G37)</f>
        <v>49701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49526</v>
      </c>
      <c r="D36" s="144">
        <f>IF(Inputs!D41="","",Inputs!D41)</f>
        <v>48678</v>
      </c>
      <c r="E36" s="144">
        <f>IF(Inputs!E41="","",Inputs!E41)</f>
        <v>49298</v>
      </c>
      <c r="F36" s="144">
        <f>IF(Inputs!F41="","",Inputs!F41)</f>
        <v>50103</v>
      </c>
      <c r="G36" s="144">
        <f>IF(Inputs!G41="","",Inputs!G41)</f>
        <v>51623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196</v>
      </c>
      <c r="D37" s="144">
        <f>IF(Inputs!D42="","",Inputs!D42)</f>
        <v>192</v>
      </c>
      <c r="E37" s="144">
        <f>IF(Inputs!E42="","",Inputs!E42)</f>
        <v>154</v>
      </c>
      <c r="F37" s="144">
        <f>IF(Inputs!F42="","",Inputs!F42)</f>
        <v>140</v>
      </c>
      <c r="G37" s="144">
        <f>IF(Inputs!G42="","",Inputs!G42)</f>
        <v>126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90143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5.9827163506872415E-2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0.66280030030030035</v>
      </c>
      <c r="D42" s="150">
        <f t="shared" si="35"/>
        <v>0.68906928450066074</v>
      </c>
      <c r="E42" s="150">
        <f t="shared" si="35"/>
        <v>0.66611627371169646</v>
      </c>
      <c r="F42" s="150">
        <f t="shared" si="35"/>
        <v>0.65029597097574943</v>
      </c>
      <c r="G42" s="150">
        <f t="shared" si="35"/>
        <v>0.67189814629459099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0.13430930930930932</v>
      </c>
      <c r="D43" s="146">
        <f t="shared" si="36"/>
        <v>0.11965263356616954</v>
      </c>
      <c r="E43" s="146">
        <f t="shared" si="36"/>
        <v>0.1242224099531526</v>
      </c>
      <c r="F43" s="146">
        <f t="shared" si="36"/>
        <v>0.12541531411113233</v>
      </c>
      <c r="G43" s="146">
        <f t="shared" si="36"/>
        <v>0.10517676262161188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9.0776438061592815E-2</v>
      </c>
      <c r="F44" s="146">
        <f t="shared" si="37"/>
        <v>0</v>
      </c>
      <c r="G44" s="146">
        <f t="shared" si="37"/>
        <v>6.9503943628137888E-2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3.4234234234234232E-2</v>
      </c>
      <c r="D45" s="146">
        <f t="shared" si="38"/>
        <v>3.4774400604115539E-2</v>
      </c>
      <c r="E45" s="146">
        <f t="shared" si="38"/>
        <v>7.860379387143844E-2</v>
      </c>
      <c r="F45" s="146">
        <f t="shared" si="38"/>
        <v>5.3236585831582965E-2</v>
      </c>
      <c r="G45" s="146">
        <f t="shared" si="38"/>
        <v>5.4490130920446814E-2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4.5045045045045046E-4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1.067648903658032E-4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1.9519519519519519E-3</v>
      </c>
      <c r="D47" s="146">
        <f t="shared" si="40"/>
        <v>6.4187275816499903E-4</v>
      </c>
      <c r="E47" s="146">
        <f t="shared" si="40"/>
        <v>1.9199754243145689E-4</v>
      </c>
      <c r="F47" s="146">
        <f t="shared" si="40"/>
        <v>1.4244796639297308E-2</v>
      </c>
      <c r="G47" s="146">
        <f t="shared" si="40"/>
        <v>9.0483244585018215E-3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0.16625375375375376</v>
      </c>
      <c r="D48" s="281">
        <f t="shared" si="41"/>
        <v>0.15586180857088919</v>
      </c>
      <c r="E48" s="281">
        <f t="shared" si="41"/>
        <v>4.0089086859688199E-2</v>
      </c>
      <c r="F48" s="281">
        <f t="shared" si="41"/>
        <v>0.15680733244223793</v>
      </c>
      <c r="G48" s="281">
        <f t="shared" si="41"/>
        <v>8.9775927186344764E-2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0.29553043497553888</v>
      </c>
      <c r="D50" s="153">
        <f t="shared" si="42"/>
        <v>0.29323191727283798</v>
      </c>
      <c r="E50" s="153">
        <f t="shared" si="42"/>
        <v>0.2793007293007293</v>
      </c>
      <c r="F50" s="153">
        <f t="shared" si="42"/>
        <v>0.26266425920353093</v>
      </c>
      <c r="G50" s="153">
        <f t="shared" si="42"/>
        <v>0.24650625715526431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-2.3741935483870966</v>
      </c>
      <c r="D53" s="146">
        <f t="shared" si="45"/>
        <v>-2.9142212189616252</v>
      </c>
      <c r="E53" s="146">
        <f t="shared" si="45"/>
        <v>-16.53146853146853</v>
      </c>
      <c r="F53" s="146">
        <f t="shared" si="45"/>
        <v>-0.48013245033112584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0.54724160500538033</v>
      </c>
      <c r="D55" s="150">
        <f t="shared" si="46"/>
        <v>0.53681868004118638</v>
      </c>
      <c r="E55" s="150">
        <f t="shared" si="46"/>
        <v>0.52706992706992706</v>
      </c>
      <c r="F55" s="150">
        <f t="shared" si="46"/>
        <v>0.50118366937506265</v>
      </c>
      <c r="G55" s="150">
        <f t="shared" si="46"/>
        <v>0.50824089060834554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0.20591555655904267</v>
      </c>
      <c r="D57" s="146">
        <f t="shared" si="48"/>
        <v>0.22311046511627908</v>
      </c>
      <c r="E57" s="146">
        <f t="shared" si="48"/>
        <v>1.960727969348659</v>
      </c>
      <c r="F57" s="146">
        <f t="shared" si="48"/>
        <v>0.33950316609839259</v>
      </c>
      <c r="G57" s="146">
        <f t="shared" si="48"/>
        <v>0.60695703879887031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0.10932495438881006</v>
      </c>
      <c r="D60" s="156">
        <f t="shared" si="50"/>
        <v>0.10448376851049787</v>
      </c>
      <c r="E60" s="156">
        <f t="shared" si="50"/>
        <v>0.11110206739378153</v>
      </c>
      <c r="F60" s="156">
        <f t="shared" si="50"/>
        <v>0.11754698476872887</v>
      </c>
      <c r="G60" s="156">
        <f t="shared" si="50"/>
        <v>0.10807102031833569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8.9783093452260293E-2</v>
      </c>
      <c r="D61" s="156">
        <f t="shared" si="51"/>
        <v>8.5137977973023138E-2</v>
      </c>
      <c r="E61" s="156">
        <f t="shared" si="51"/>
        <v>2.1243692007162623E-2</v>
      </c>
      <c r="F61" s="156">
        <f t="shared" si="51"/>
        <v>8.2180813802213634E-2</v>
      </c>
      <c r="G61" s="156">
        <f t="shared" si="51"/>
        <v>4.3542989559262349E-2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49526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49330</v>
      </c>
      <c r="K3" s="75"/>
    </row>
    <row r="4" spans="1:11" ht="15" customHeight="1" x14ac:dyDescent="0.35">
      <c r="B4" s="9" t="s">
        <v>21</v>
      </c>
      <c r="C4" s="3"/>
      <c r="D4" s="144">
        <f>Inputs!C42</f>
        <v>196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-40813</v>
      </c>
      <c r="E6" s="170">
        <f>1-D6/D3</f>
        <v>1.824072204498647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40617</v>
      </c>
      <c r="J48" s="187"/>
    </row>
    <row r="49" spans="2:11" ht="15" customHeight="1" thickTop="1" x14ac:dyDescent="0.35">
      <c r="B49" s="9" t="s">
        <v>13</v>
      </c>
      <c r="C49" s="184">
        <f>Inputs!C41+Inputs!C37</f>
        <v>90143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196</v>
      </c>
      <c r="D53" s="34">
        <f>IF(E53=0, 0,E53/C53)</f>
        <v>1</v>
      </c>
      <c r="E53" s="176">
        <f>IF(C53=0,0,MAX(C53,C53*Dashboard!G23))</f>
        <v>196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-33.590808891753163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-33.590808891753163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-33.590808891753163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90143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40617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49526</v>
      </c>
      <c r="D70" s="34">
        <f t="shared" si="2"/>
        <v>-0.8201146872349877</v>
      </c>
      <c r="E70" s="202">
        <f>E68-E69</f>
        <v>-40617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26640</v>
      </c>
      <c r="D74" s="98"/>
      <c r="E74" s="256">
        <f>Inputs!E91</f>
        <v>26640</v>
      </c>
      <c r="F74" s="98"/>
      <c r="H74" s="256">
        <f>Inputs!F91</f>
        <v>26640</v>
      </c>
      <c r="I74" s="98"/>
      <c r="K74" s="75"/>
    </row>
    <row r="75" spans="1:11" ht="15" customHeight="1" x14ac:dyDescent="0.35">
      <c r="B75" s="100" t="s">
        <v>97</v>
      </c>
      <c r="C75" s="97">
        <f>Data!C8</f>
        <v>17657</v>
      </c>
      <c r="D75" s="101">
        <f>C75/$C$74</f>
        <v>0.66280030030030035</v>
      </c>
      <c r="E75" s="256">
        <f>Inputs!E92</f>
        <v>17657</v>
      </c>
      <c r="F75" s="211">
        <f>E75/E74</f>
        <v>0.66280030030030035</v>
      </c>
      <c r="H75" s="256">
        <f>Inputs!F92</f>
        <v>17657</v>
      </c>
      <c r="I75" s="211">
        <f>H75/$H$74</f>
        <v>0.66280030030030035</v>
      </c>
      <c r="K75" s="75"/>
    </row>
    <row r="76" spans="1:11" ht="15" customHeight="1" x14ac:dyDescent="0.35">
      <c r="B76" s="12" t="s">
        <v>87</v>
      </c>
      <c r="C76" s="145">
        <f>C74-C75</f>
        <v>8983</v>
      </c>
      <c r="D76" s="212"/>
      <c r="E76" s="213">
        <f>E74-E75</f>
        <v>8983</v>
      </c>
      <c r="F76" s="212"/>
      <c r="H76" s="213">
        <f>H74-H75</f>
        <v>8983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3578</v>
      </c>
      <c r="D77" s="101">
        <f>C77/$C$74</f>
        <v>0.13430930930930932</v>
      </c>
      <c r="E77" s="256">
        <f>Inputs!E93</f>
        <v>3578</v>
      </c>
      <c r="F77" s="211">
        <f>E77/E74</f>
        <v>0.13430930930930932</v>
      </c>
      <c r="H77" s="256">
        <f>Inputs!F93</f>
        <v>3578</v>
      </c>
      <c r="I77" s="211">
        <f>H77/$H$74</f>
        <v>0.13430930930930932</v>
      </c>
      <c r="K77" s="75"/>
    </row>
    <row r="78" spans="1:11" ht="15" customHeight="1" x14ac:dyDescent="0.35">
      <c r="B78" s="93" t="s">
        <v>150</v>
      </c>
      <c r="C78" s="97">
        <f>MAX(Data!C12,0)</f>
        <v>12</v>
      </c>
      <c r="D78" s="101">
        <f>C78/$C$74</f>
        <v>4.5045045045045046E-4</v>
      </c>
      <c r="E78" s="214">
        <f>E74*F78</f>
        <v>12</v>
      </c>
      <c r="F78" s="211">
        <f>I78</f>
        <v>4.5045045045045046E-4</v>
      </c>
      <c r="H78" s="256">
        <f>Inputs!F97</f>
        <v>12</v>
      </c>
      <c r="I78" s="211">
        <f>H78/$H$74</f>
        <v>4.5045045045045046E-4</v>
      </c>
      <c r="K78" s="75"/>
    </row>
    <row r="79" spans="1:11" ht="15" customHeight="1" x14ac:dyDescent="0.35">
      <c r="B79" s="215" t="s">
        <v>203</v>
      </c>
      <c r="C79" s="216">
        <f>C76-C77-C78</f>
        <v>5393</v>
      </c>
      <c r="D79" s="217">
        <f>C79/C74</f>
        <v>0.20243993993993994</v>
      </c>
      <c r="E79" s="218">
        <f>E76-E77-E78</f>
        <v>5393</v>
      </c>
      <c r="F79" s="217">
        <f>E79/E74</f>
        <v>0.20243993993993994</v>
      </c>
      <c r="G79" s="219"/>
      <c r="H79" s="218">
        <f>H76-H77-H78</f>
        <v>5393</v>
      </c>
      <c r="I79" s="217">
        <f>H79/H74</f>
        <v>0.20243993993993994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912</v>
      </c>
      <c r="D81" s="101">
        <f>C81/$C$74</f>
        <v>3.4234234234234232E-2</v>
      </c>
      <c r="E81" s="214">
        <f>E74*F81</f>
        <v>911.99999999999989</v>
      </c>
      <c r="F81" s="211">
        <f>I81</f>
        <v>3.4234234234234232E-2</v>
      </c>
      <c r="H81" s="256">
        <f>Inputs!F94</f>
        <v>911.99999999999989</v>
      </c>
      <c r="I81" s="211">
        <f>H81/$H$74</f>
        <v>3.4234234234234232E-2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52</v>
      </c>
      <c r="D82" s="101">
        <f>C82/$C$74</f>
        <v>1.9519519519519519E-3</v>
      </c>
      <c r="E82" s="256">
        <f>Inputs!E95</f>
        <v>52</v>
      </c>
      <c r="F82" s="211">
        <f>E82/E74</f>
        <v>1.9519519519519519E-3</v>
      </c>
      <c r="H82" s="256">
        <f>Inputs!F95</f>
        <v>52</v>
      </c>
      <c r="I82" s="211">
        <f>H82/$H$74</f>
        <v>1.9519519519519519E-3</v>
      </c>
      <c r="K82" s="75"/>
    </row>
    <row r="83" spans="1:11" ht="15" customHeight="1" thickBot="1" x14ac:dyDescent="0.4">
      <c r="B83" s="221" t="s">
        <v>113</v>
      </c>
      <c r="C83" s="222">
        <f>C79-C81-C82-C80</f>
        <v>4429</v>
      </c>
      <c r="D83" s="223">
        <f>C83/$C$74</f>
        <v>0.16625375375375376</v>
      </c>
      <c r="E83" s="224">
        <f>E79-E81-E82-E80</f>
        <v>4429</v>
      </c>
      <c r="F83" s="223">
        <f>E83/E74</f>
        <v>0.16625375375375376</v>
      </c>
      <c r="H83" s="224">
        <f>H79-H81-H82-H80</f>
        <v>4429</v>
      </c>
      <c r="I83" s="223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3321.75</v>
      </c>
      <c r="D85" s="217">
        <f>C85/$C$74</f>
        <v>0.12469031531531531</v>
      </c>
      <c r="E85" s="229">
        <f>E83*(1-F84)</f>
        <v>3321.75</v>
      </c>
      <c r="F85" s="217">
        <f>E85/E74</f>
        <v>0.12469031531531531</v>
      </c>
      <c r="G85" s="219"/>
      <c r="H85" s="229">
        <f>H83*(1-I84)</f>
        <v>3321.75</v>
      </c>
      <c r="I85" s="217">
        <f>H85/$H$74</f>
        <v>0.12469031531531531</v>
      </c>
      <c r="K85" s="75"/>
    </row>
    <row r="86" spans="1:11" ht="15" customHeight="1" x14ac:dyDescent="0.35">
      <c r="B86" s="3" t="s">
        <v>143</v>
      </c>
      <c r="C86" s="230">
        <f>C85*Data!C4/Common_Shares</f>
        <v>2.7471322213895921</v>
      </c>
      <c r="D86" s="98"/>
      <c r="E86" s="231">
        <f>E85*Data!C4/Common_Shares</f>
        <v>2.7471322213895921</v>
      </c>
      <c r="F86" s="98"/>
      <c r="H86" s="231">
        <f>H85*Data!C4/Common_Shares</f>
        <v>2.7471322213895921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9.5452822146962893E-2</v>
      </c>
      <c r="D87" s="98"/>
      <c r="E87" s="233">
        <f>E86*Exchange_Rate/Dashboard!G3</f>
        <v>9.5452822146962893E-2</v>
      </c>
      <c r="F87" s="98"/>
      <c r="H87" s="233">
        <f>H86*Exchange_Rate/Dashboard!G3</f>
        <v>9.5452822146962893E-2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1.6</v>
      </c>
      <c r="D88" s="235">
        <f>C88/C86</f>
        <v>0.58242555183261846</v>
      </c>
      <c r="E88" s="255">
        <f>Inputs!E98</f>
        <v>1.6</v>
      </c>
      <c r="F88" s="235">
        <f>E88/E86</f>
        <v>0.58242555183261846</v>
      </c>
      <c r="H88" s="255">
        <f>Inputs!F98</f>
        <v>1.6</v>
      </c>
      <c r="I88" s="235">
        <f>H88/H86</f>
        <v>0.58242555183261846</v>
      </c>
      <c r="K88" s="75"/>
    </row>
    <row r="89" spans="1:11" ht="15" customHeight="1" x14ac:dyDescent="0.35">
      <c r="B89" s="3" t="s">
        <v>193</v>
      </c>
      <c r="C89" s="232">
        <f>C88*Exchange_Rate/Dashboard!G3</f>
        <v>5.5594162612925643E-2</v>
      </c>
      <c r="D89" s="98"/>
      <c r="E89" s="232">
        <f>E88*Exchange_Rate/Dashboard!G3</f>
        <v>5.5594162612925643E-2</v>
      </c>
      <c r="F89" s="98"/>
      <c r="H89" s="232">
        <f>H88*Exchange_Rate/Dashboard!G3</f>
        <v>5.5594162612925643E-2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79.119634559899097</v>
      </c>
      <c r="H93" s="3" t="s">
        <v>182</v>
      </c>
      <c r="I93" s="237">
        <f>FV(H87,D93,0,-(H86/(C93-D94)))*Exchange_Rate</f>
        <v>79.119634559899097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39.731768652371933</v>
      </c>
      <c r="H94" s="3" t="s">
        <v>183</v>
      </c>
      <c r="I94" s="237">
        <f>FV(H89,D93,0,-(H88/(C93-D94)))*Exchange_Rate</f>
        <v>39.731768652371933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54699.114036062296</v>
      </c>
      <c r="D97" s="244"/>
      <c r="E97" s="245">
        <f>PV(C94,D93,0,-F93)</f>
        <v>45.236907849757038</v>
      </c>
      <c r="F97" s="244"/>
      <c r="H97" s="245">
        <f>PV(C94,D93,0,-I93)</f>
        <v>45.236907849757038</v>
      </c>
      <c r="I97" s="245">
        <f>PV(C93,D93,0,-I93)</f>
        <v>60.359990384696928</v>
      </c>
      <c r="K97" s="75"/>
    </row>
    <row r="98" spans="2:11" ht="15" customHeight="1" x14ac:dyDescent="0.35">
      <c r="B98" s="18" t="s">
        <v>132</v>
      </c>
      <c r="C98" s="243">
        <f>-E53*Exchange_Rate</f>
        <v>-196</v>
      </c>
      <c r="D98" s="244"/>
      <c r="E98" s="244"/>
      <c r="F98" s="244"/>
      <c r="H98" s="245">
        <f>C98*Data!$C$4/Common_Shares</f>
        <v>-0.16209465353875521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-40617</v>
      </c>
      <c r="D99" s="248"/>
      <c r="E99" s="249">
        <f>IF(H99&gt;0,I64,H99)</f>
        <v>-33.590808891753163</v>
      </c>
      <c r="F99" s="248"/>
      <c r="H99" s="249">
        <f>I64</f>
        <v>-33.590808891753163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9.7614036587953557</v>
      </c>
      <c r="E100" s="251">
        <f>MAX(E97+H98+E99,0)</f>
        <v>11.484004304465124</v>
      </c>
      <c r="F100" s="251">
        <f>(E100+H100)/2</f>
        <v>11.484004304465124</v>
      </c>
      <c r="H100" s="251">
        <f>MAX(H97+H98+H99,0)</f>
        <v>11.484004304465124</v>
      </c>
      <c r="I100" s="251">
        <f>MAX(I97+H98+H99,0)</f>
        <v>26.607086839405014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19.309252528123416</v>
      </c>
      <c r="E103" s="245">
        <f>PV(C94,D93,0,-F94)</f>
        <v>22.716767680145196</v>
      </c>
      <c r="F103" s="251">
        <f>(E103+H103)/2</f>
        <v>22.716767680145196</v>
      </c>
      <c r="H103" s="245">
        <f>PV(C94,D93,0,-I94)</f>
        <v>22.716767680145196</v>
      </c>
      <c r="I103" s="251">
        <f>PV(C93,D93,0,-I94)</f>
        <v>30.311176071074502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14.535328093459386</v>
      </c>
      <c r="E106" s="245">
        <f>(E100+E103)/2</f>
        <v>17.10038599230516</v>
      </c>
      <c r="F106" s="251">
        <f>(F100+F103)/2</f>
        <v>17.10038599230516</v>
      </c>
      <c r="H106" s="245">
        <f>(H100+H103)/2</f>
        <v>17.10038599230516</v>
      </c>
      <c r="I106" s="245">
        <f>(I100+I103)/2</f>
        <v>28.459131455239756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