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18D4833-9803-4D2B-BF1D-4FAE025106B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F93" i="4"/>
  <c r="F91" i="4"/>
  <c r="F92" i="4" s="1"/>
  <c r="E91" i="4"/>
  <c r="E93" i="4" s="1"/>
  <c r="D69" i="4"/>
  <c r="D68" i="4"/>
  <c r="D63" i="4"/>
  <c r="D62" i="4"/>
  <c r="D61" i="4"/>
  <c r="D60" i="4"/>
  <c r="D59" i="4"/>
  <c r="D58" i="4"/>
  <c r="D71" i="4" s="1"/>
  <c r="D55" i="4"/>
  <c r="D50" i="4"/>
  <c r="D53" i="4" s="1"/>
  <c r="F96" i="4" l="1"/>
  <c r="E95" i="4"/>
  <c r="E92" i="4"/>
  <c r="F97" i="4"/>
  <c r="F95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 s="1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<sst xmlns="http://schemas.openxmlformats.org/spreadsheetml/2006/main" count="405" uniqueCount="289">
  <si>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</si>
  <si>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</si>
  <si>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</si>
  <si>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</si>
  <si>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</si>
  <si>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</si>
  <si>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</si>
  <si>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</si>
  <si>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</si>
  <si>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</si>
  <si>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</si>
  <si>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</si>
  <si>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</si>
  <si>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</si>
  <si>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</si>
  <si>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</si>
  <si>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</si>
  <si>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</si>
  <si>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</si>
  <si>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</si>
  <si>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</si>
  <si>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</si>
  <si>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</si>
  <si>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</si>
  <si>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</si>
  <si>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</si>
  <si>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</si>
  <si>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</si>
  <si>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</si>
  <si>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</si>
  <si>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</si>
  <si>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</si>
  <si>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</si>
  <si>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</si>
  <si>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</si>
  <si>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</si>
  <si>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</si>
  <si>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</si>
  <si>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</si>
  <si>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</si>
  <si>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</si>
  <si>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</si>
  <si>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</si>
  <si>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</si>
  <si>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</si>
  <si>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</si>
  <si>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</si>
  <si>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</si>
  <si>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</si>
  <si>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</si>
  <si>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</si>
  <si>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</si>
  <si>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</si>
  <si>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</si>
  <si>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</si>
  <si>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</si>
  <si>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</si>
  <si>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</si>
  <si>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</si>
  <si>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</si>
  <si>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</si>
  <si>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</si>
  <si>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</si>
  <si>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</si>
  <si>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</si>
  <si>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</si>
  <si>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</si>
  <si>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</si>
  <si>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</si>
  <si>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</si>
  <si>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</si>
  <si>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</si>
  <si>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</si>
  <si>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</si>
  <si>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</si>
  <si>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</si>
  <si>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</si>
  <si>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</si>
  <si>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</si>
  <si>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</si>
  <si>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</si>
  <si>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</si>
  <si>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</si>
  <si>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</si>
  <si>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</si>
  <si>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</si>
  <si>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</si>
  <si>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</si>
  <si>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</si>
  <si>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</si>
  <si>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</si>
  <si>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</si>
  <si>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</si>
  <si>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</si>
  <si>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</si>
  <si>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</si>
  <si>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</si>
  <si>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</si>
  <si>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</si>
  <si>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</si>
  <si>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</si>
  <si>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</si>
  <si>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</si>
  <si>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</si>
  <si>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</si>
  <si>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</si>
  <si>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</si>
  <si>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</si>
  <si>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</si>
  <si>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</si>
  <si>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</si>
  <si>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</si>
  <si>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</si>
  <si>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</si>
  <si>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</si>
  <si>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</si>
  <si>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</si>
  <si>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</si>
  <si>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</si>
  <si>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</si>
  <si>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</si>
  <si>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</si>
  <si>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</si>
  <si>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</si>
  <si>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</si>
  <si>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</si>
  <si>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</si>
  <si>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</si>
  <si>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</si>
  <si>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</si>
  <si>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</si>
  <si>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</si>
  <si>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</si>
  <si>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</si>
  <si>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</si>
  <si>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</si>
  <si>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</si>
  <si>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</si>
  <si>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</si>
  <si>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</si>
  <si>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</si>
  <si>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</si>
  <si>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</si>
  <si>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</si>
  <si>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</si>
  <si>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</si>
  <si>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</si>
  <si>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</si>
  <si>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</si>
  <si>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</si>
  <si>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</si>
  <si>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</si>
  <si>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</si>
  <si>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</si>
  <si>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</si>
  <si>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</si>
  <si>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</si>
  <si>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</si>
  <si>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</si>
  <si>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</si>
  <si>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</si>
  <si>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</si>
  <si>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</si>
  <si>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</si>
  <si>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</si>
  <si>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</si>
  <si>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</si>
  <si>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</si>
  <si>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</si>
  <si>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</si>
  <si>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</si>
  <si>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</si>
  <si>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</si>
  <si>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</si>
  <si>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</si>
  <si>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</si>
  <si>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</si>
  <si>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</si>
  <si>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</si>
  <si>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</si>
  <si>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</si>
  <si>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</si>
  <si>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</si>
  <si>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</si>
  <si>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</si>
  <si>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</si>
  <si>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</si>
  <si>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</si>
  <si>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</si>
  <si>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</si>
  <si>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</si>
  <si>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</si>
  <si>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</si>
  <si>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</si>
  <si>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</si>
  <si>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</si>
  <si>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</si>
  <si>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</si>
  <si>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</si>
  <si>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</si>
  <si>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</si>
  <si>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</si>
  <si>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</si>
  <si>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</si>
  <si>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</si>
  <si>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</si>
  <si>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</si>
  <si>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</si>
  <si>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</si>
  <si>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</si>
  <si>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</si>
  <si>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</si>
  <si>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</si>
  <si>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</si>
  <si>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</si>
  <si>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</si>
  <si>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</si>
  <si>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</si>
  <si>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</si>
  <si>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</si>
  <si>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</si>
  <si>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</si>
  <si>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</si>
  <si>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</si>
  <si>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</si>
  <si>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</si>
  <si>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</si>
  <si>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</si>
  <si>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</si>
  <si>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</si>
  <si>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</si>
  <si>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</si>
  <si>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</si>
  <si>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</si>
  <si>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</si>
  <si>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</si>
  <si>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</si>
  <si>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</si>
  <si>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</si>
  <si>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</si>
  <si>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</si>
  <si>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</si>
  <si>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</si>
  <si>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</si>
  <si>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</si>
  <si>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</si>
  <si>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</si>
  <si>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</si>
  <si>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</si>
  <si>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</si>
  <si>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</si>
  <si>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</si>
  <si>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</si>
  <si>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</si>
  <si>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</si>
  <si>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</si>
  <si>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</si>
  <si>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</si>
  <si>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</si>
  <si>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</si>
  <si>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</si>
  <si>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</si>
  <si>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</si>
  <si>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</si>
  <si>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</si>
  <si>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</si>
  <si>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</si>
  <si>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</si>
  <si>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</si>
  <si>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</si>
  <si>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</si>
  <si>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</si>
  <si>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</si>
  <si>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</si>
  <si>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</si>
  <si>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</si>
  <si>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</si>
  <si>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</si>
  <si>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</si>
  <si>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</si>
  <si>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</si>
  <si>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</si>
  <si>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</si>
  <si>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PDD</t>
  </si>
  <si>
    <t>拼多多</t>
  </si>
  <si>
    <t xml:space="preserve">Superior Cycl. </t>
  </si>
  <si>
    <t>C0009</t>
  </si>
  <si>
    <t>CNY</t>
  </si>
  <si>
    <t>USD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</si>
</sst>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283</v>
      </c>
      <c r="D4" s="66"/>
    </row>
    <row r="5" spans="1:5" x14ac:dyDescent="0.35">
      <c r="B5" s="46" t="s">
        <v>168</v>
      </c>
      <c r="C5" s="67" t="s">
        <v>284</v>
      </c>
    </row>
    <row r="6" spans="1:5" x14ac:dyDescent="0.35">
      <c r="B6" s="46" t="s">
        <v>267</v>
      </c>
      <c r="C6" s="68">
        <v>45643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285</v>
      </c>
    </row>
    <row r="9" spans="1:5" x14ac:dyDescent="0.35">
      <c r="B9" s="39" t="s">
        <v>189</v>
      </c>
      <c r="C9" s="119" t="s">
        <v>286</v>
      </c>
    </row>
    <row r="10" spans="1:5" x14ac:dyDescent="0.35">
      <c r="B10" s="39" t="s">
        <v>190</v>
      </c>
      <c r="C10" s="70">
        <v>1388770048</v>
      </c>
    </row>
    <row r="11" spans="1:5" x14ac:dyDescent="0.35">
      <c r="B11" s="39" t="s">
        <v>191</v>
      </c>
      <c r="C11" s="69" t="s">
        <v>287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281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282</v>
      </c>
      <c r="D22" s="75"/>
    </row>
    <row r="24" spans="2:13" x14ac:dyDescent="0.35">
      <c r="B24" s="76" t="s">
        <v>277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247639205</v>
      </c>
      <c r="D25" s="77">
        <v>130557589</v>
      </c>
      <c r="E25" s="77">
        <v>93949939</v>
      </c>
      <c r="F25" s="77">
        <v>59491865</v>
      </c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91723577</v>
      </c>
      <c r="D26" s="78">
        <v>31462298</v>
      </c>
      <c r="E26" s="78">
        <v>31718093</v>
      </c>
      <c r="F26" s="78">
        <v>19278641</v>
      </c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86264492</v>
      </c>
      <c r="D27" s="78">
        <v>58308654</v>
      </c>
      <c r="E27" s="78">
        <v>46342494</v>
      </c>
      <c r="F27" s="78">
        <v>42701896</v>
      </c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>
        <v>10952374</v>
      </c>
      <c r="D28" s="78">
        <v>10384716</v>
      </c>
      <c r="E28" s="78">
        <v>8992590</v>
      </c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43987</v>
      </c>
      <c r="D29" s="78">
        <v>51655</v>
      </c>
      <c r="E29" s="78">
        <v>1231002</v>
      </c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275</v>
      </c>
      <c r="C30" s="302"/>
      <c r="D30" s="302">
        <v>0</v>
      </c>
      <c r="E30" s="302">
        <v>0</v>
      </c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0</v>
      </c>
      <c r="D31" s="78">
        <v>0</v>
      </c>
      <c r="E31" s="78">
        <v>0</v>
      </c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v>160836513</v>
      </c>
      <c r="D37" s="78">
        <v>119349042</v>
      </c>
      <c r="E37" s="78">
        <v>106095171</v>
      </c>
      <c r="F37" s="78">
        <v>98732726</v>
      </c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187241607</v>
      </c>
      <c r="D41" s="302">
        <v>117770911</v>
      </c>
      <c r="E41" s="302">
        <v>75114547</v>
      </c>
      <c r="F41" s="302">
        <v>60175888</v>
      </c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0</v>
      </c>
      <c r="D42" s="78">
        <v>0</v>
      </c>
      <c r="E42" s="78">
        <v>0</v>
      </c>
      <c r="F42" s="78">
        <v>0</v>
      </c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v>0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0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0.3</v>
      </c>
      <c r="E66" s="261" t="s">
        <v>63</v>
      </c>
    </row>
    <row r="67" spans="2:5" x14ac:dyDescent="0.35">
      <c r="B67" s="2" t="s">
        <v>41</v>
      </c>
      <c r="C67" s="86"/>
      <c r="D67" s="109">
        <v>0.2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276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273</v>
      </c>
      <c r="D87" s="108">
        <v>0.03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247639205</v>
      </c>
      <c r="D91" s="98"/>
      <c r="E91" s="99">
        <f>C91</f>
        <v>247639205</v>
      </c>
      <c r="F91" s="99">
        <f>C91</f>
        <v>247639205</v>
      </c>
    </row>
    <row r="92" spans="2:8" x14ac:dyDescent="0.35">
      <c r="B92" s="100" t="s">
        <v>97</v>
      </c>
      <c r="C92" s="97">
        <f>C26</f>
        <v>91723577</v>
      </c>
      <c r="D92" s="101">
        <f>C92/C91</f>
        <v>0.37039198619620833</v>
      </c>
      <c r="E92" s="102">
        <f>E91*D92</f>
        <v>91723577</v>
      </c>
      <c r="F92" s="102">
        <f>F91*D92</f>
        <v>91723577</v>
      </c>
    </row>
    <row r="93" spans="2:8" x14ac:dyDescent="0.35">
      <c r="B93" s="100" t="s">
        <v>216</v>
      </c>
      <c r="C93" s="97">
        <f>C27+C28</f>
        <v>97216866</v>
      </c>
      <c r="D93" s="101">
        <f>C93/C91</f>
        <v>0.39257461676958622</v>
      </c>
      <c r="E93" s="102">
        <f>E91*D93</f>
        <v>97216866</v>
      </c>
      <c r="F93" s="102">
        <f>F91*D93</f>
        <v>97216866</v>
      </c>
    </row>
    <row r="94" spans="2:8" x14ac:dyDescent="0.35">
      <c r="B94" s="100" t="s">
        <v>222</v>
      </c>
      <c r="C94" s="97">
        <f>C29</f>
        <v>43987</v>
      </c>
      <c r="D94" s="101">
        <f>C94/C91</f>
        <v>1.7762534813500148E-4</v>
      </c>
      <c r="E94" s="103"/>
      <c r="F94" s="102">
        <f>F91*D94</f>
        <v>43987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180</v>
      </c>
      <c r="C98" s="104">
        <f>C44</f>
        <v>0</v>
      </c>
      <c r="D98" s="105"/>
      <c r="E98" s="106">
        <f>F98</f>
        <v>0</v>
      </c>
      <c r="F98" s="106">
        <f>C98</f>
        <v>0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PDD : 拼多多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167</v>
      </c>
      <c r="C3" s="312" t="str">
        <f>Inputs!C4</f>
        <v>PDD</v>
      </c>
      <c r="D3" s="313"/>
      <c r="E3" s="3"/>
      <c r="F3" s="9" t="s">
        <v>1</v>
      </c>
      <c r="G3" s="10">
        <v>95.98</v>
      </c>
      <c r="H3" s="11" t="s">
        <v>288</v>
      </c>
    </row>
    <row r="4" spans="1:10" ht="15.75" customHeight="1" x14ac:dyDescent="0.35">
      <c r="B4" s="12" t="s">
        <v>168</v>
      </c>
      <c r="C4" s="314" t="str">
        <f>Inputs!C5</f>
        <v>拼多多</v>
      </c>
      <c r="D4" s="315"/>
      <c r="E4" s="3"/>
      <c r="F4" s="9" t="s">
        <v>2</v>
      </c>
      <c r="G4" s="318">
        <f>Inputs!C10</f>
        <v>1388770048</v>
      </c>
      <c r="H4" s="318"/>
      <c r="I4" s="14"/>
    </row>
    <row r="5" spans="1:10" ht="15.75" customHeight="1" x14ac:dyDescent="0.35">
      <c r="B5" s="9" t="s">
        <v>145</v>
      </c>
      <c r="C5" s="316">
        <f>Inputs!C6</f>
        <v>45643</v>
      </c>
      <c r="D5" s="317"/>
      <c r="E5" s="16"/>
      <c r="F5" s="12" t="s">
        <v>91</v>
      </c>
      <c r="G5" s="321">
        <f>G3*G4/1000000</f>
        <v>133294.14920704</v>
      </c>
      <c r="H5" s="321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2" t="str">
        <f>Inputs!C11</f>
        <v>CNY</v>
      </c>
      <c r="H6" s="322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C0009</v>
      </c>
      <c r="E7" s="3"/>
      <c r="F7" s="12" t="s">
        <v>5</v>
      </c>
      <c r="G7" s="21">
        <v>0.13640642662843069</v>
      </c>
      <c r="H7" s="22" t="str">
        <f>IF(G6=Dashboard!H3,H3,G6&amp;"/"&amp;Dashboard!H3)</f>
        <v>CNY/USD</v>
      </c>
    </row>
    <row r="8" spans="1:10" ht="15.75" customHeight="1" x14ac:dyDescent="0.35"/>
    <row r="9" spans="1:10" ht="15.75" customHeight="1" x14ac:dyDescent="0.35">
      <c r="B9" s="83" t="s">
        <v>256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>
        <f>C21*C22*C23</f>
        <v>0.31349208619001007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0.23703339703420548</v>
      </c>
      <c r="F21" s="3"/>
      <c r="G21" s="34"/>
    </row>
    <row r="22" spans="1:8" ht="15.75" customHeight="1" x14ac:dyDescent="0.35">
      <c r="B22" s="35" t="s">
        <v>244</v>
      </c>
      <c r="C22" s="36">
        <f>Data!C50</f>
        <v>0.71144720328873301</v>
      </c>
      <c r="F22" s="83" t="s">
        <v>257</v>
      </c>
      <c r="G22" s="285"/>
      <c r="H22" s="285"/>
    </row>
    <row r="23" spans="1:8" ht="15.75" customHeight="1" thickBot="1" x14ac:dyDescent="0.4">
      <c r="B23" s="37" t="s">
        <v>250</v>
      </c>
      <c r="C23" s="38">
        <f>1/Data!C55</f>
        <v>1.8589784908222882</v>
      </c>
      <c r="F23" s="39" t="s">
        <v>163</v>
      </c>
      <c r="G23" s="40">
        <f>G3/(Data!C36*Data!C4/Common_Shares*Exchange_Rate)</f>
        <v>5.2188389510107438</v>
      </c>
    </row>
    <row r="24" spans="1:8" ht="15.75" customHeight="1" x14ac:dyDescent="0.35">
      <c r="B24" s="41" t="s">
        <v>239</v>
      </c>
      <c r="C24" s="42">
        <f>Fin_Analysis!I81</f>
        <v>1.7762534813500148E-4</v>
      </c>
      <c r="F24" s="39" t="s">
        <v>224</v>
      </c>
      <c r="G24" s="43">
        <f>G3/(Fin_Analysis!H86*G7)</f>
        <v>22.21322513779872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0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9" t="s">
        <v>223</v>
      </c>
      <c r="H28" s="319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36.658769779899757</v>
      </c>
      <c r="D29" s="54">
        <f>G29*(1+G20)</f>
        <v>68.948737407265867</v>
      </c>
      <c r="E29" s="3"/>
      <c r="F29" s="55">
        <f>IF(Fin_Analysis!C108="Profit",Fin_Analysis!F100,IF(Fin_Analysis!C108="Dividend",Fin_Analysis!F103,Fin_Analysis!F106))</f>
        <v>43.127964446940894</v>
      </c>
      <c r="G29" s="320">
        <f>IF(Fin_Analysis!C108="Profit",Fin_Analysis!I100,IF(Fin_Analysis!C108="Dividend",Fin_Analysis!I103,Fin_Analysis!I106))</f>
        <v>59.955423832405103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256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58698762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247639205</v>
      </c>
      <c r="D6" s="142">
        <f>IF(Inputs!D25="","",Inputs!D25)</f>
        <v>130557589</v>
      </c>
      <c r="E6" s="142">
        <f>IF(Inputs!E25="","",Inputs!E25)</f>
        <v>93949939</v>
      </c>
      <c r="F6" s="142">
        <f>IF(Inputs!F25="","",Inputs!F25)</f>
        <v>59491865</v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0.89678138893940518</v>
      </c>
      <c r="D7" s="143">
        <f t="shared" si="1"/>
        <v>0.38965059892162346</v>
      </c>
      <c r="E7" s="143">
        <f t="shared" si="1"/>
        <v>0.57920648478577696</v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91723577</v>
      </c>
      <c r="D8" s="144">
        <f>IF(Inputs!D26="","",Inputs!D26)</f>
        <v>31462298</v>
      </c>
      <c r="E8" s="144">
        <f>IF(Inputs!E26="","",Inputs!E26)</f>
        <v>31718093</v>
      </c>
      <c r="F8" s="144">
        <f>IF(Inputs!F26="","",Inputs!F26)</f>
        <v>19278641</v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155915628</v>
      </c>
      <c r="D9" s="273">
        <f t="shared" si="2"/>
        <v>99095291</v>
      </c>
      <c r="E9" s="273">
        <f t="shared" si="2"/>
        <v>62231846</v>
      </c>
      <c r="F9" s="273">
        <f t="shared" si="2"/>
        <v>40213224</v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86264492</v>
      </c>
      <c r="D10" s="144">
        <f>IF(Inputs!D27="","",Inputs!D27)</f>
        <v>58308654</v>
      </c>
      <c r="E10" s="144">
        <f>IF(Inputs!E27="","",Inputs!E27)</f>
        <v>46342494</v>
      </c>
      <c r="F10" s="144">
        <f>IF(Inputs!F27="","",Inputs!F27)</f>
        <v>42701896</v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>
        <f>IF(Inputs!C28="","",Inputs!C28)</f>
        <v>10952374</v>
      </c>
      <c r="D11" s="144">
        <f>IF(Inputs!D28="","",Inputs!D28)</f>
        <v>10384716</v>
      </c>
      <c r="E11" s="144">
        <f>IF(Inputs!E28="","",Inputs!E28)</f>
        <v>8992590</v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0</v>
      </c>
      <c r="D12" s="144">
        <f>IF(Inputs!D31="","",MAX(Inputs!D31,0)/(1-Fin_Analysis!$I$84))</f>
        <v>0</v>
      </c>
      <c r="E12" s="144">
        <f>IF(Inputs!E31="","",MAX(Inputs!E31,0)/(1-Fin_Analysis!$I$84))</f>
        <v>0</v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0.23703339703420548</v>
      </c>
      <c r="D13" s="292">
        <f t="shared" si="3"/>
        <v>0.23286215097002136</v>
      </c>
      <c r="E13" s="292">
        <f t="shared" si="3"/>
        <v>7.3408903437393397E-2</v>
      </c>
      <c r="F13" s="292">
        <f t="shared" si="3"/>
        <v>-4.1832139570679119E-2</v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58698762</v>
      </c>
      <c r="D14" s="294">
        <f t="shared" ref="D14:M14" si="4">IF(D6="","",D9-D10-MAX(D11,0)-MAX(D12,0))</f>
        <v>30401921</v>
      </c>
      <c r="E14" s="294">
        <f t="shared" si="4"/>
        <v>6896762</v>
      </c>
      <c r="F14" s="294">
        <f t="shared" si="4"/>
        <v>-2488672</v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0.93075832280466753</v>
      </c>
      <c r="D15" s="296">
        <f t="shared" ref="D15:M15" si="5">IF(E14="","",IF(ABS(D14+E14)=ABS(D14)+ABS(E14),IF(D14&lt;0,-1,1)*(D14-E14)/E14,"Turn"))</f>
        <v>3.4081441406851507</v>
      </c>
      <c r="E15" s="296" t="str">
        <f t="shared" si="5"/>
        <v>Turn</v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278</v>
      </c>
      <c r="C16" s="147" t="str">
        <f>IF(C17="","",C17-C14)</f>
        <v/>
      </c>
      <c r="D16" s="147">
        <f t="shared" ref="D16:M16" si="6">IF(D17="","",D17-D14)</f>
        <v>-30401921</v>
      </c>
      <c r="E16" s="147">
        <f t="shared" si="6"/>
        <v>-6896762</v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275</v>
      </c>
      <c r="C17" s="307" t="str">
        <f>IF(Inputs!C30="","",Inputs!C30)</f>
        <v/>
      </c>
      <c r="D17" s="307">
        <f>IF(Inputs!D30="","",Inputs!D30)</f>
        <v>0</v>
      </c>
      <c r="E17" s="307">
        <f>IF(Inputs!E30="","",Inputs!E30)</f>
        <v>0</v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43987</v>
      </c>
      <c r="D19" s="144">
        <f>IF(Inputs!D29="","",Inputs!D29)</f>
        <v>51655</v>
      </c>
      <c r="E19" s="144">
        <f>IF(Inputs!E29="","",Inputs!E29)</f>
        <v>1231002</v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>
        <f t="shared" si="8"/>
        <v>0</v>
      </c>
      <c r="F22" s="227">
        <f t="shared" si="8"/>
        <v>0</v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279</v>
      </c>
      <c r="C24" s="309">
        <f t="shared" ref="C24:M24" si="9">IF(C6="","",C14-MAX(C18,0)-MAX(C19,0)-ABS(MAX(C23,0)-MAX(C21,0)))</f>
        <v>58654775</v>
      </c>
      <c r="D24" s="309">
        <f t="shared" si="9"/>
        <v>30350266</v>
      </c>
      <c r="E24" s="309">
        <f t="shared" si="9"/>
        <v>5665760</v>
      </c>
      <c r="F24" s="309">
        <f t="shared" si="9"/>
        <v>-2488672</v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0.17764182876455284</v>
      </c>
      <c r="D25" s="143">
        <f t="shared" si="10"/>
        <v>0.17434987635992574</v>
      </c>
      <c r="E25" s="143">
        <f t="shared" si="10"/>
        <v>4.5229619574313935E-2</v>
      </c>
      <c r="F25" s="143">
        <f t="shared" si="10"/>
        <v>-3.1374104678009336E-2</v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280</v>
      </c>
      <c r="C26" s="275">
        <f>IF(C6="","",C24*(1-Fin_Analysis!$I$84))</f>
        <v>43991081.25</v>
      </c>
      <c r="D26" s="276">
        <f>IF(D6="","",D24*(1-Fin_Analysis!$I$84))</f>
        <v>22762699.5</v>
      </c>
      <c r="E26" s="276">
        <f>IF(E6="","",E24*(1-Fin_Analysis!$I$84))</f>
        <v>4249320</v>
      </c>
      <c r="F26" s="276">
        <f>IF(F6="","",F24*(1-Fin_Analysis!$I$84))</f>
        <v>-1866504</v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0.93259508829346005</v>
      </c>
      <c r="D27" s="305">
        <f t="shared" si="11"/>
        <v>4.3567863799384376</v>
      </c>
      <c r="E27" s="305" t="str">
        <f t="shared" si="11"/>
        <v>Turn</v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348078120</v>
      </c>
      <c r="D29" s="147">
        <f>IF(D36="","",D36+D32)</f>
        <v>237119953</v>
      </c>
      <c r="E29" s="147">
        <f t="shared" ref="E29:M29" si="21">IF(E36="","",E36+E32)</f>
        <v>181209718</v>
      </c>
      <c r="F29" s="147">
        <f t="shared" si="21"/>
        <v>158908614</v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160836513</v>
      </c>
      <c r="D32" s="144">
        <f>IF(Inputs!D37="","",Inputs!D37)</f>
        <v>119349042</v>
      </c>
      <c r="E32" s="144">
        <f>IF(Inputs!E37="","",Inputs!E37)</f>
        <v>106095171</v>
      </c>
      <c r="F32" s="144">
        <f>IF(Inputs!F37="","",Inputs!F37)</f>
        <v>98732726</v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187241607</v>
      </c>
      <c r="D36" s="144">
        <f>IF(Inputs!D41="","",Inputs!D41)</f>
        <v>117770911</v>
      </c>
      <c r="E36" s="144">
        <f>IF(Inputs!E41="","",Inputs!E41)</f>
        <v>75114547</v>
      </c>
      <c r="F36" s="144">
        <f>IF(Inputs!F41="","",Inputs!F41)</f>
        <v>60175888</v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>
        <f>IF(Inputs!D42="","",Inputs!D42)</f>
        <v>0</v>
      </c>
      <c r="E37" s="144">
        <f>IF(Inputs!E42="","",Inputs!E42)</f>
        <v>0</v>
      </c>
      <c r="F37" s="144">
        <f>IF(Inputs!F42="","",Inputs!F42)</f>
        <v>0</v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348078120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0.16863674740601334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0.37039198619620833</v>
      </c>
      <c r="D42" s="150">
        <f t="shared" si="35"/>
        <v>0.24098406106442422</v>
      </c>
      <c r="E42" s="150">
        <f t="shared" si="35"/>
        <v>0.33760631819037157</v>
      </c>
      <c r="F42" s="150">
        <f t="shared" si="35"/>
        <v>0.32405507879102463</v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0.39257461676958622</v>
      </c>
      <c r="D43" s="146">
        <f t="shared" si="36"/>
        <v>0.52615378796555445</v>
      </c>
      <c r="E43" s="146">
        <f t="shared" si="36"/>
        <v>0.58898477837223506</v>
      </c>
      <c r="F43" s="146">
        <f t="shared" si="36"/>
        <v>0.71777706077965453</v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>
        <f t="shared" si="37"/>
        <v>0</v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1.7762534813500148E-4</v>
      </c>
      <c r="D45" s="146">
        <f t="shared" si="38"/>
        <v>3.9564915678704822E-4</v>
      </c>
      <c r="E45" s="146">
        <f t="shared" si="38"/>
        <v>1.310274400497482E-2</v>
      </c>
      <c r="F45" s="146">
        <f t="shared" si="38"/>
        <v>0</v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0</v>
      </c>
      <c r="D46" s="146">
        <f t="shared" si="39"/>
        <v>0</v>
      </c>
      <c r="E46" s="146">
        <f t="shared" si="39"/>
        <v>0</v>
      </c>
      <c r="F46" s="146">
        <f t="shared" si="39"/>
        <v>0</v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>
        <f t="shared" si="40"/>
        <v>0</v>
      </c>
      <c r="F47" s="146">
        <f t="shared" si="40"/>
        <v>0</v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0.23685577168607047</v>
      </c>
      <c r="D48" s="281">
        <f t="shared" si="41"/>
        <v>0.23246650181323431</v>
      </c>
      <c r="E48" s="281">
        <f t="shared" si="41"/>
        <v>6.0306159432418578E-2</v>
      </c>
      <c r="F48" s="281">
        <f t="shared" si="41"/>
        <v>-4.1832139570679119E-2</v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>
        <f t="shared" ref="C50:M50" si="42">IF(C6="","",C6/C29)</f>
        <v>0.71144720328873301</v>
      </c>
      <c r="D50" s="153">
        <f t="shared" si="42"/>
        <v>0.55059722873679884</v>
      </c>
      <c r="E50" s="153">
        <f t="shared" si="42"/>
        <v>0.51845971638231891</v>
      </c>
      <c r="F50" s="153">
        <f t="shared" si="42"/>
        <v>0.37437784839027038</v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e">
        <f t="shared" si="45"/>
        <v>#VALUE!</v>
      </c>
      <c r="E53" s="146" t="e">
        <f t="shared" si="45"/>
        <v>#VALUE!</v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>
        <f t="shared" ref="C55:M55" si="46">IF(C36="","",(C36-C37)/C29)</f>
        <v>0.53792983885341605</v>
      </c>
      <c r="D55" s="150">
        <f t="shared" si="46"/>
        <v>0.49667229395916757</v>
      </c>
      <c r="E55" s="150">
        <f t="shared" si="46"/>
        <v>0.41451721148862447</v>
      </c>
      <c r="F55" s="150">
        <f t="shared" si="46"/>
        <v>0.37868235387164095</v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7.4993041913467401E-4</v>
      </c>
      <c r="D57" s="146">
        <f t="shared" si="48"/>
        <v>1.7019620190478727E-3</v>
      </c>
      <c r="E57" s="146">
        <f t="shared" si="48"/>
        <v>0.21727041032447544</v>
      </c>
      <c r="F57" s="146" t="str">
        <f t="shared" si="48"/>
        <v>-</v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>
        <f>IF(D36="","",IF(Inputs!D38=0,0,Inputs!D38/D29))</f>
        <v>0</v>
      </c>
      <c r="E58" s="146">
        <f>IF(E36="","",IF(Inputs!E38=0,0,Inputs!E38/E29))</f>
        <v>0</v>
      </c>
      <c r="F58" s="146">
        <f>IF(F36="","",IF(Inputs!F38=0,0,Inputs!F38/F29))</f>
        <v>0</v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>
        <f t="shared" ref="C60:M60" si="50">IF(C14="","",C14/(C36-C37))</f>
        <v>0.31349208619001012</v>
      </c>
      <c r="D60" s="156">
        <f t="shared" si="50"/>
        <v>0.25814456848346873</v>
      </c>
      <c r="E60" s="156">
        <f t="shared" si="50"/>
        <v>9.1816595792024142E-2</v>
      </c>
      <c r="F60" s="156">
        <f t="shared" si="50"/>
        <v>-4.1356631081206477E-2</v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>
        <f t="shared" ref="C61:M61" si="51">IF(C24="","",C24/(C36-C37))</f>
        <v>0.31325716511288004</v>
      </c>
      <c r="D61" s="156">
        <f t="shared" si="51"/>
        <v>0.2577059627228323</v>
      </c>
      <c r="E61" s="156">
        <f t="shared" si="51"/>
        <v>7.5428265579502191E-2</v>
      </c>
      <c r="F61" s="156">
        <f t="shared" si="51"/>
        <v>-4.1356631081206477E-2</v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260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187241607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187241607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-160836513</v>
      </c>
      <c r="E6" s="170">
        <f>1-D6/D3</f>
        <v>1.8589784908222882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USD</v>
      </c>
      <c r="C7" s="3"/>
      <c r="D7" s="171">
        <f>MAX((D6*Exchange_Rate*Data!C4)/Common_Shares, 0)</f>
        <v>0</v>
      </c>
      <c r="E7" s="167" t="str">
        <f>Dashboard!H3</f>
        <v>USD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259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272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0.3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0.2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160836513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>
        <f>(E44+E45+E24+E25)/$I$49</f>
        <v>0</v>
      </c>
      <c r="J47" s="187" t="str">
        <f>IF(OR(I47&lt;0.5,C49&lt;I49),"Liquidity Issue!","")</f>
        <v>Liquidity Issue!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160836513</v>
      </c>
      <c r="J48" s="187"/>
    </row>
    <row r="49" spans="2:11" ht="15" customHeight="1" thickTop="1" x14ac:dyDescent="0.35">
      <c r="B49" s="9" t="s">
        <v>13</v>
      </c>
      <c r="C49" s="184">
        <f>Inputs!C41+Inputs!C37</f>
        <v>348078120</v>
      </c>
      <c r="D49" s="170">
        <f>E49/C49</f>
        <v>0</v>
      </c>
      <c r="E49" s="176">
        <f>E28+E48</f>
        <v>0</v>
      </c>
      <c r="F49" s="3"/>
      <c r="G49" s="3"/>
      <c r="H49" s="9" t="s">
        <v>78</v>
      </c>
      <c r="I49" s="175">
        <f>Inputs!C37</f>
        <v>160836513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258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17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18">
        <f>Inputs!C84</f>
        <v>0</v>
      </c>
      <c r="E57" s="317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-15.797528209441293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274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-15.797528209441293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-15.797528209441293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348078120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160836513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187241607</v>
      </c>
      <c r="D70" s="34">
        <f t="shared" si="2"/>
        <v>-0.85897849082228828</v>
      </c>
      <c r="E70" s="202">
        <f>E68-E69</f>
        <v>-160836513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247639205</v>
      </c>
      <c r="D74" s="98"/>
      <c r="E74" s="256">
        <f>Inputs!E91</f>
        <v>247639205</v>
      </c>
      <c r="F74" s="98"/>
      <c r="H74" s="256">
        <f>Inputs!F91</f>
        <v>247639205</v>
      </c>
      <c r="I74" s="98"/>
      <c r="K74" s="75"/>
    </row>
    <row r="75" spans="1:11" ht="15" customHeight="1" x14ac:dyDescent="0.35">
      <c r="B75" s="100" t="s">
        <v>97</v>
      </c>
      <c r="C75" s="97">
        <f>Data!C8</f>
        <v>91723577</v>
      </c>
      <c r="D75" s="101">
        <f>C75/$C$74</f>
        <v>0.37039198619620833</v>
      </c>
      <c r="E75" s="256">
        <f>Inputs!E92</f>
        <v>91723577</v>
      </c>
      <c r="F75" s="211">
        <f>E75/E74</f>
        <v>0.37039198619620833</v>
      </c>
      <c r="H75" s="256">
        <f>Inputs!F92</f>
        <v>91723577</v>
      </c>
      <c r="I75" s="211">
        <f>H75/$H$74</f>
        <v>0.37039198619620833</v>
      </c>
      <c r="K75" s="75"/>
    </row>
    <row r="76" spans="1:11" ht="15" customHeight="1" x14ac:dyDescent="0.35">
      <c r="B76" s="12" t="s">
        <v>87</v>
      </c>
      <c r="C76" s="145">
        <f>C74-C75</f>
        <v>155915628</v>
      </c>
      <c r="D76" s="212"/>
      <c r="E76" s="213">
        <f>E74-E75</f>
        <v>155915628</v>
      </c>
      <c r="F76" s="212"/>
      <c r="H76" s="213">
        <f>H74-H75</f>
        <v>155915628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97216866</v>
      </c>
      <c r="D77" s="101">
        <f>C77/$C$74</f>
        <v>0.39257461676958622</v>
      </c>
      <c r="E77" s="256">
        <f>Inputs!E93</f>
        <v>97216866</v>
      </c>
      <c r="F77" s="211">
        <f>E77/E74</f>
        <v>0.39257461676958622</v>
      </c>
      <c r="H77" s="256">
        <f>Inputs!F93</f>
        <v>97216866</v>
      </c>
      <c r="I77" s="211">
        <f>H77/$H$74</f>
        <v>0.39257461676958622</v>
      </c>
      <c r="K77" s="75"/>
    </row>
    <row r="78" spans="1:11" ht="15" customHeight="1" x14ac:dyDescent="0.35">
      <c r="B78" s="93" t="s">
        <v>150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203</v>
      </c>
      <c r="C79" s="216">
        <f>C76-C77-C78</f>
        <v>58698762</v>
      </c>
      <c r="D79" s="217">
        <f>C79/C74</f>
        <v>0.23703339703420548</v>
      </c>
      <c r="E79" s="218">
        <f>E76-E77-E78</f>
        <v>58698762</v>
      </c>
      <c r="F79" s="217">
        <f>E79/E74</f>
        <v>0.23703339703420548</v>
      </c>
      <c r="G79" s="219"/>
      <c r="H79" s="218">
        <f>H76-H77-H78</f>
        <v>58698762</v>
      </c>
      <c r="I79" s="217">
        <f>H79/H74</f>
        <v>0.23703339703420548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43987</v>
      </c>
      <c r="D81" s="101">
        <f>C81/$C$74</f>
        <v>1.7762534813500148E-4</v>
      </c>
      <c r="E81" s="214">
        <f>E74*F81</f>
        <v>43987</v>
      </c>
      <c r="F81" s="211">
        <f>I81</f>
        <v>1.7762534813500148E-4</v>
      </c>
      <c r="H81" s="256">
        <f>Inputs!F94</f>
        <v>43987</v>
      </c>
      <c r="I81" s="211">
        <f>H81/$H$74</f>
        <v>1.7762534813500148E-4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58654775</v>
      </c>
      <c r="D83" s="223">
        <f>C83/$C$74</f>
        <v>0.23685577168607047</v>
      </c>
      <c r="E83" s="224">
        <f>E79-E81-E82-E80</f>
        <v>58654775</v>
      </c>
      <c r="F83" s="223">
        <f>E83/E74</f>
        <v>0.23685577168607047</v>
      </c>
      <c r="H83" s="224">
        <f>H79-H81-H82-H80</f>
        <v>58654775</v>
      </c>
      <c r="I83" s="223">
        <f>H83/$H$74</f>
        <v>0.23685577168607047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43991081.25</v>
      </c>
      <c r="D85" s="217">
        <f>C85/$C$74</f>
        <v>0.17764182876455284</v>
      </c>
      <c r="E85" s="229">
        <f>E83*(1-F84)</f>
        <v>43991081.25</v>
      </c>
      <c r="F85" s="217">
        <f>E85/E74</f>
        <v>0.17764182876455284</v>
      </c>
      <c r="G85" s="219"/>
      <c r="H85" s="229">
        <f>H83*(1-I84)</f>
        <v>43991081.25</v>
      </c>
      <c r="I85" s="217">
        <f>H85/$H$74</f>
        <v>0.17764182876455284</v>
      </c>
      <c r="K85" s="75"/>
    </row>
    <row r="86" spans="1:11" ht="15" customHeight="1" x14ac:dyDescent="0.35">
      <c r="B86" s="3" t="s">
        <v>143</v>
      </c>
      <c r="C86" s="230">
        <f>C85*Data!C4/Common_Shares</f>
        <v>31.676288895596919</v>
      </c>
      <c r="D86" s="98"/>
      <c r="E86" s="231">
        <f>E85*Data!C4/Common_Shares</f>
        <v>31.676288895596919</v>
      </c>
      <c r="F86" s="98"/>
      <c r="H86" s="231">
        <f>H85*Data!C4/Common_Shares</f>
        <v>31.676288895596919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4.5018226475288754E-2</v>
      </c>
      <c r="D87" s="98"/>
      <c r="E87" s="233">
        <f>E86*Exchange_Rate/Dashboard!G3</f>
        <v>4.5018226475288754E-2</v>
      </c>
      <c r="F87" s="98"/>
      <c r="H87" s="233">
        <f>H86*Exchange_Rate/Dashboard!G3</f>
        <v>4.5018226475288754E-2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</v>
      </c>
      <c r="D88" s="235">
        <f>C88/C86</f>
        <v>0</v>
      </c>
      <c r="E88" s="255">
        <f>Inputs!E98</f>
        <v>0</v>
      </c>
      <c r="F88" s="235">
        <f>E88/E86</f>
        <v>0</v>
      </c>
      <c r="H88" s="255">
        <f>Inputs!F98</f>
        <v>0</v>
      </c>
      <c r="I88" s="235">
        <f>H88/H86</f>
        <v>0</v>
      </c>
      <c r="K88" s="75"/>
    </row>
    <row r="89" spans="1:11" ht="15" customHeight="1" x14ac:dyDescent="0.35">
      <c r="B89" s="3" t="s">
        <v>193</v>
      </c>
      <c r="C89" s="232">
        <f>C88*Exchange_Rate/Dashboard!G3</f>
        <v>0</v>
      </c>
      <c r="D89" s="98"/>
      <c r="E89" s="232">
        <f>E88*Exchange_Rate/Dashboard!G3</f>
        <v>0</v>
      </c>
      <c r="F89" s="98"/>
      <c r="H89" s="232">
        <f>H88*Exchange_Rate/Dashboard!G3</f>
        <v>0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USD</v>
      </c>
      <c r="C91" s="166"/>
      <c r="K91" s="160" t="s">
        <v>120</v>
      </c>
    </row>
    <row r="92" spans="1:11" ht="15" customHeight="1" x14ac:dyDescent="0.35">
      <c r="B92" s="83" t="s">
        <v>268</v>
      </c>
      <c r="C92" s="258" t="str">
        <f>Inputs!C15</f>
        <v>CN</v>
      </c>
      <c r="D92" s="83" t="s">
        <v>269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103.06105494034151</v>
      </c>
      <c r="H93" s="3" t="s">
        <v>182</v>
      </c>
      <c r="I93" s="237">
        <f>FV(H87,D93,0,-(H86/(C93-D94)))*Exchange_Rate</f>
        <v>103.06105494034151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0.03</v>
      </c>
      <c r="E94" s="3" t="s">
        <v>183</v>
      </c>
      <c r="F94" s="237">
        <f>FV(E89,D93,0,-(E88/(C93-D94)))*Exchange_Rate</f>
        <v>0</v>
      </c>
      <c r="H94" s="3" t="s">
        <v>183</v>
      </c>
      <c r="I94" s="237">
        <f>FV(H89,D93,0,-(H88/(C93-D94)))*Exchange_Rate</f>
        <v>0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USD</v>
      </c>
      <c r="C96" s="239" t="str">
        <f>Dashboard!H3</f>
        <v>USD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81833959.264827535</v>
      </c>
      <c r="D97" s="244"/>
      <c r="E97" s="245">
        <f>PV(C94,D93,0,-F93)</f>
        <v>58.925492656382183</v>
      </c>
      <c r="F97" s="244"/>
      <c r="H97" s="245">
        <f>PV(C94,D93,0,-I93)</f>
        <v>58.925492656382183</v>
      </c>
      <c r="I97" s="245">
        <f>PV(C93,D93,0,-I93)</f>
        <v>75.752952041846399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-21939134.009707138</v>
      </c>
      <c r="D99" s="248"/>
      <c r="E99" s="249">
        <f>IF(H99&gt;0,I64,H99)</f>
        <v>-15.797528209441293</v>
      </c>
      <c r="F99" s="248"/>
      <c r="H99" s="249">
        <f>I64</f>
        <v>-15.797528209441293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36.658769779899757</v>
      </c>
      <c r="E100" s="251">
        <f>MAX(E97+H98+E99,0)</f>
        <v>43.127964446940894</v>
      </c>
      <c r="F100" s="251">
        <f>(E100+H100)/2</f>
        <v>43.127964446940894</v>
      </c>
      <c r="H100" s="251">
        <f>MAX(H97+H98+H99,0)</f>
        <v>43.127964446940894</v>
      </c>
      <c r="I100" s="251">
        <f>MAX(I97+H98+H99,0)</f>
        <v>59.955423832405103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270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0</v>
      </c>
      <c r="E103" s="245">
        <f>PV(C94,D93,0,-F94)</f>
        <v>0</v>
      </c>
      <c r="F103" s="251">
        <f>(E103+H103)/2</f>
        <v>0</v>
      </c>
      <c r="H103" s="245">
        <f>PV(C94,D93,0,-I94)</f>
        <v>0</v>
      </c>
      <c r="I103" s="251">
        <f>PV(C93,D93,0,-I94)</f>
        <v>0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18.329384889949878</v>
      </c>
      <c r="E106" s="245">
        <f>(E100+E103)/2</f>
        <v>21.563982223470447</v>
      </c>
      <c r="F106" s="251">
        <f>(F100+F103)/2</f>
        <v>21.563982223470447</v>
      </c>
      <c r="H106" s="245">
        <f>(H100+H103)/2</f>
        <v>21.563982223470447</v>
      </c>
      <c r="I106" s="245">
        <f>(I100+I103)/2</f>
        <v>29.977711916202551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271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263</v>
      </c>
      <c r="C2" s="1"/>
    </row>
    <row r="3" spans="2:3" x14ac:dyDescent="0.35">
      <c r="B3" s="62"/>
      <c r="C3" s="62"/>
    </row>
    <row r="4" spans="2:3" x14ac:dyDescent="0.35">
      <c r="B4" s="60" t="s">
        <v>261</v>
      </c>
      <c r="C4" s="61" t="s">
        <v>262</v>
      </c>
    </row>
    <row r="5" spans="2:3" x14ac:dyDescent="0.35">
      <c r="B5" s="60"/>
      <c r="C5" s="61"/>
    </row>
    <row r="6" spans="2:3" x14ac:dyDescent="0.35">
      <c r="B6" s="63" t="s">
        <v>264</v>
      </c>
      <c r="C6" s="64" t="s">
        <v>265</v>
      </c>
    </row>
    <row r="7" spans="2:3" x14ac:dyDescent="0.35">
      <c r="B7" s="63"/>
      <c r="C7" s="64"/>
    </row>
    <row r="8" spans="2:3" x14ac:dyDescent="0.35">
      <c r="B8" s="290"/>
      <c r="C8" s="65" t="s">
        <v>266</v>
      </c>
    </row>
    <row r="10" spans="2:3" x14ac:dyDescent="0.35">
      <c r="B10" s="283" t="s">
        <v>267</v>
      </c>
    </row>
    <row r="11" spans="2:3" x14ac:dyDescent="0.35">
      <c r="B11" s="284">
        <f>Inputs!C6</f>
        <v>45643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2025-01-14T02:30:27Z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