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8F94B8-765C-4F6A-85EC-EF7B7B5074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C73" i="4"/>
  <c r="C72" i="4"/>
  <c r="C70" i="4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F97" i="4" l="1"/>
  <c r="E95" i="4"/>
  <c r="E92" i="4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<sst xmlns="http://schemas.openxmlformats.org/spreadsheetml/2006/main" count="405" uniqueCount="289">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</sst>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339201984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287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8817</v>
      </c>
      <c r="D25" s="77">
        <v>8853</v>
      </c>
      <c r="E25" s="77">
        <v>8545</v>
      </c>
      <c r="F25" s="77">
        <v>7885</v>
      </c>
      <c r="G25" s="77">
        <v>7629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4568</v>
      </c>
      <c r="D26" s="78">
        <v>4482</v>
      </c>
      <c r="E26" s="78">
        <v>4293</v>
      </c>
      <c r="F26" s="78">
        <v>3941</v>
      </c>
      <c r="G26" s="78">
        <v>3854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2028</v>
      </c>
      <c r="D27" s="78">
        <v>2100</v>
      </c>
      <c r="E27" s="78">
        <v>2035</v>
      </c>
      <c r="F27" s="78">
        <v>1862</v>
      </c>
      <c r="G27" s="78">
        <v>1731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423</v>
      </c>
      <c r="D29" s="78">
        <v>422</v>
      </c>
      <c r="E29" s="78">
        <v>415</v>
      </c>
      <c r="F29" s="78">
        <v>394</v>
      </c>
      <c r="G29" s="78">
        <v>390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-134</v>
      </c>
      <c r="D32" s="78">
        <v>-188</v>
      </c>
      <c r="E32" s="78">
        <v>-280</v>
      </c>
      <c r="F32" s="78">
        <v>-126</v>
      </c>
      <c r="G32" s="78">
        <v>-28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592</v>
      </c>
      <c r="D33" s="78">
        <v>585</v>
      </c>
      <c r="E33" s="78">
        <v>583</v>
      </c>
      <c r="F33" s="78">
        <v>562</v>
      </c>
      <c r="G33" s="78">
        <v>524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692</v>
      </c>
      <c r="D34" s="78">
        <v>426</v>
      </c>
      <c r="E34" s="78">
        <v>388</v>
      </c>
      <c r="F34" s="78">
        <v>350</v>
      </c>
      <c r="G34" s="78">
        <v>363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16624</v>
      </c>
      <c r="D37" s="78">
        <v>13373</v>
      </c>
      <c r="E37" s="78">
        <v>12899</v>
      </c>
      <c r="F37" s="78">
        <v>12618</v>
      </c>
      <c r="G37" s="78">
        <v>11885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10859</v>
      </c>
      <c r="D41" s="302">
        <v>-3351</v>
      </c>
      <c r="E41" s="302">
        <v>-2625</v>
      </c>
      <c r="F41" s="302">
        <v>-2285</v>
      </c>
      <c r="G41" s="302">
        <v>-736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5.1674641148325366E-2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127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668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314</v>
      </c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24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1079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>
        <v>2013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8600+1610</f>
        <v>10210</v>
      </c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12390+658</f>
        <v>13048</v>
      </c>
      <c r="D72" s="111">
        <v>0</v>
      </c>
      <c r="E72" s="262"/>
    </row>
    <row r="73" spans="2:5" x14ac:dyDescent="0.35">
      <c r="B73" s="9" t="s">
        <v>31</v>
      </c>
      <c r="C73" s="86">
        <f>77+589</f>
        <v>666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3061</v>
      </c>
    </row>
    <row r="78" spans="2:5" ht="12" thickTop="1" x14ac:dyDescent="0.35">
      <c r="B78" s="9" t="s">
        <v>54</v>
      </c>
      <c r="C78" s="86">
        <v>10137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1.4999999999999999E-2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8817</v>
      </c>
      <c r="D91" s="98"/>
      <c r="E91" s="99">
        <f>C91</f>
        <v>8817</v>
      </c>
      <c r="F91" s="99">
        <f>C91</f>
        <v>8817</v>
      </c>
    </row>
    <row r="92" spans="2:8" x14ac:dyDescent="0.35">
      <c r="B92" s="100" t="s">
        <v>97</v>
      </c>
      <c r="C92" s="97">
        <f>C26</f>
        <v>4568</v>
      </c>
      <c r="D92" s="101">
        <f>C92/C91</f>
        <v>0.51809005330611324</v>
      </c>
      <c r="E92" s="102">
        <f>E91*D92</f>
        <v>4568</v>
      </c>
      <c r="F92" s="102">
        <f>F91*D92</f>
        <v>4568</v>
      </c>
    </row>
    <row r="93" spans="2:8" x14ac:dyDescent="0.35">
      <c r="B93" s="100" t="s">
        <v>216</v>
      </c>
      <c r="C93" s="97">
        <f>C27+C28</f>
        <v>2028</v>
      </c>
      <c r="D93" s="101">
        <f>C93/C91</f>
        <v>0.23001020755358967</v>
      </c>
      <c r="E93" s="102">
        <f>E91*D93</f>
        <v>2028</v>
      </c>
      <c r="F93" s="102">
        <f>F91*D93</f>
        <v>2028</v>
      </c>
    </row>
    <row r="94" spans="2:8" x14ac:dyDescent="0.35">
      <c r="B94" s="100" t="s">
        <v>222</v>
      </c>
      <c r="C94" s="97">
        <f>C29</f>
        <v>423</v>
      </c>
      <c r="D94" s="101">
        <f>C94/C91</f>
        <v>4.7975501871384822E-2</v>
      </c>
      <c r="E94" s="103"/>
      <c r="F94" s="102">
        <f>F91*D94</f>
        <v>423</v>
      </c>
    </row>
    <row r="95" spans="2:8" x14ac:dyDescent="0.35">
      <c r="B95" s="18" t="s">
        <v>215</v>
      </c>
      <c r="C95" s="97">
        <f>ABS(MAX(C34,0)-C33)</f>
        <v>100</v>
      </c>
      <c r="D95" s="101">
        <f>C95/C91</f>
        <v>1.1341726210729272E-2</v>
      </c>
      <c r="E95" s="102">
        <f>E91*D95</f>
        <v>100</v>
      </c>
      <c r="F95" s="102">
        <f>F91*D95</f>
        <v>100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1.08</v>
      </c>
      <c r="D98" s="105"/>
      <c r="E98" s="106">
        <f>F98</f>
        <v>1.08</v>
      </c>
      <c r="F98" s="106">
        <f>C98</f>
        <v>1.08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SIRI</v>
      </c>
      <c r="D3" s="313"/>
      <c r="E3" s="3"/>
      <c r="F3" s="9" t="s">
        <v>1</v>
      </c>
      <c r="G3" s="10">
        <v>20.9</v>
      </c>
      <c r="H3" s="11" t="s">
        <v>288</v>
      </c>
    </row>
    <row r="4" spans="1:10" ht="15.75" customHeight="1" x14ac:dyDescent="0.35">
      <c r="B4" s="12" t="s">
        <v>168</v>
      </c>
      <c r="C4" s="314" t="str">
        <f>Inputs!C5</f>
        <v>SiriusXM</v>
      </c>
      <c r="D4" s="315"/>
      <c r="E4" s="3"/>
      <c r="F4" s="9" t="s">
        <v>2</v>
      </c>
      <c r="G4" s="318">
        <f>Inputs!C10</f>
        <v>339201984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45644</v>
      </c>
      <c r="D5" s="317"/>
      <c r="E5" s="16"/>
      <c r="F5" s="12" t="s">
        <v>91</v>
      </c>
      <c r="G5" s="321">
        <f>G3*G4/1000000</f>
        <v>7089.3214655999991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0.20453080394143108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0.32081650474838991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2.5308960309420758</v>
      </c>
      <c r="F23" s="39" t="s">
        <v>163</v>
      </c>
      <c r="G23" s="40">
        <f>G3/(Data!C36*Data!C4/Common_Shares*Exchange_Rate)</f>
        <v>0.65285214712220274</v>
      </c>
    </row>
    <row r="24" spans="1:8" ht="15.75" customHeight="1" x14ac:dyDescent="0.35">
      <c r="B24" s="41" t="s">
        <v>239</v>
      </c>
      <c r="C24" s="42">
        <f>Fin_Analysis!I81</f>
        <v>4.7975501871384822E-2</v>
      </c>
      <c r="F24" s="39" t="s">
        <v>224</v>
      </c>
      <c r="G24" s="43">
        <f>G3/(Fin_Analysis!H86*G7)</f>
        <v>5.5668013078916374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0.28766245992932865</v>
      </c>
    </row>
    <row r="26" spans="1:8" ht="15.75" customHeight="1" x14ac:dyDescent="0.35">
      <c r="B26" s="45" t="s">
        <v>241</v>
      </c>
      <c r="C26" s="44">
        <f>Fin_Analysis!I80+Fin_Analysis!I82</f>
        <v>1.1341726210729272E-2</v>
      </c>
      <c r="F26" s="46" t="s">
        <v>166</v>
      </c>
      <c r="G26" s="47">
        <f>Fin_Analysis!H88*Exchange_Rate/G3</f>
        <v>5.1674641148325366E-2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26.007662263601755</v>
      </c>
      <c r="D29" s="54">
        <f>G29*(1+G20)</f>
        <v>64.242071866578172</v>
      </c>
      <c r="E29" s="3"/>
      <c r="F29" s="55">
        <f>IF(Fin_Analysis!C108="Profit",Fin_Analysis!F100,IF(Fin_Analysis!C108="Dividend",Fin_Analysis!F103,Fin_Analysis!F106))</f>
        <v>30.597249721884417</v>
      </c>
      <c r="G29" s="320">
        <f>IF(Fin_Analysis!C108="Profit",Fin_Analysis!I100,IF(Fin_Analysis!C108="Dividend",Fin_Analysis!I103,Fin_Analysis!I106))</f>
        <v>55.862671188328854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2221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8817</v>
      </c>
      <c r="D6" s="142">
        <f>IF(Inputs!D25="","",Inputs!D25)</f>
        <v>8853</v>
      </c>
      <c r="E6" s="142">
        <f>IF(Inputs!E25="","",Inputs!E25)</f>
        <v>8545</v>
      </c>
      <c r="F6" s="142">
        <f>IF(Inputs!F25="","",Inputs!F25)</f>
        <v>7885</v>
      </c>
      <c r="G6" s="142">
        <f>IF(Inputs!G25="","",Inputs!G25)</f>
        <v>7629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-4.0664181633344176E-3</v>
      </c>
      <c r="D7" s="143">
        <f t="shared" si="1"/>
        <v>3.604447045055581E-2</v>
      </c>
      <c r="E7" s="143">
        <f t="shared" si="1"/>
        <v>8.3703233988585923E-2</v>
      </c>
      <c r="F7" s="143">
        <f t="shared" si="1"/>
        <v>3.3556167256521219E-2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4568</v>
      </c>
      <c r="D8" s="144">
        <f>IF(Inputs!D26="","",Inputs!D26)</f>
        <v>4482</v>
      </c>
      <c r="E8" s="144">
        <f>IF(Inputs!E26="","",Inputs!E26)</f>
        <v>4293</v>
      </c>
      <c r="F8" s="144">
        <f>IF(Inputs!F26="","",Inputs!F26)</f>
        <v>3941</v>
      </c>
      <c r="G8" s="144">
        <f>IF(Inputs!G26="","",Inputs!G26)</f>
        <v>3854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4249</v>
      </c>
      <c r="D9" s="273">
        <f t="shared" si="2"/>
        <v>4371</v>
      </c>
      <c r="E9" s="273">
        <f t="shared" si="2"/>
        <v>4252</v>
      </c>
      <c r="F9" s="273">
        <f t="shared" si="2"/>
        <v>3944</v>
      </c>
      <c r="G9" s="273">
        <f t="shared" si="2"/>
        <v>3775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2028</v>
      </c>
      <c r="D10" s="144">
        <f>IF(Inputs!D27="","",Inputs!D27)</f>
        <v>2100</v>
      </c>
      <c r="E10" s="144">
        <f>IF(Inputs!E27="","",Inputs!E27)</f>
        <v>2035</v>
      </c>
      <c r="F10" s="144">
        <f>IF(Inputs!F27="","",Inputs!F27)</f>
        <v>1862</v>
      </c>
      <c r="G10" s="144">
        <f>IF(Inputs!G27="","",Inputs!G27)</f>
        <v>1731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0.25189973914029717</v>
      </c>
      <c r="D13" s="292">
        <f t="shared" si="3"/>
        <v>0.25652321247034904</v>
      </c>
      <c r="E13" s="292">
        <f t="shared" si="3"/>
        <v>0.25944997074312465</v>
      </c>
      <c r="F13" s="292">
        <f t="shared" si="3"/>
        <v>0.26404565630944832</v>
      </c>
      <c r="G13" s="292">
        <f t="shared" si="3"/>
        <v>0.26792502293878623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2221</v>
      </c>
      <c r="D14" s="294">
        <f t="shared" ref="D14:M14" si="4">IF(D6="","",D9-D10-MAX(D11,0)-MAX(D12,0))</f>
        <v>2271</v>
      </c>
      <c r="E14" s="294">
        <f t="shared" si="4"/>
        <v>2217</v>
      </c>
      <c r="F14" s="294">
        <f t="shared" si="4"/>
        <v>2082</v>
      </c>
      <c r="G14" s="294">
        <f t="shared" si="4"/>
        <v>2044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-2.2016732716864818E-2</v>
      </c>
      <c r="D15" s="296">
        <f t="shared" ref="D15:M15" si="5">IF(E14="","",IF(ABS(D14+E14)=ABS(D14)+ABS(E14),IF(D14&lt;0,-1,1)*(D14-E14)/E14,"Turn"))</f>
        <v>2.4357239512855209E-2</v>
      </c>
      <c r="E15" s="296">
        <f t="shared" si="5"/>
        <v>6.4841498559077809E-2</v>
      </c>
      <c r="F15" s="296">
        <f t="shared" si="5"/>
        <v>1.8590998043052837E-2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-2271</v>
      </c>
      <c r="E16" s="147">
        <f t="shared" si="6"/>
        <v>-2217</v>
      </c>
      <c r="F16" s="147">
        <f t="shared" si="6"/>
        <v>-2082</v>
      </c>
      <c r="G16" s="147">
        <f t="shared" si="6"/>
        <v>-2044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-134</v>
      </c>
      <c r="D18" s="144">
        <f>IF(Inputs!D32="","",Inputs!D32)</f>
        <v>-188</v>
      </c>
      <c r="E18" s="144">
        <f>IF(Inputs!E32="","",Inputs!E32)</f>
        <v>-280</v>
      </c>
      <c r="F18" s="144">
        <f>IF(Inputs!F32="","",Inputs!F32)</f>
        <v>-126</v>
      </c>
      <c r="G18" s="144">
        <f>IF(Inputs!G32="","",Inputs!G32)</f>
        <v>-28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423</v>
      </c>
      <c r="D19" s="144">
        <f>IF(Inputs!D29="","",Inputs!D29)</f>
        <v>422</v>
      </c>
      <c r="E19" s="144">
        <f>IF(Inputs!E29="","",Inputs!E29)</f>
        <v>415</v>
      </c>
      <c r="F19" s="144">
        <f>IF(Inputs!F29="","",Inputs!F29)</f>
        <v>394</v>
      </c>
      <c r="G19" s="144">
        <f>IF(Inputs!G29="","",Inputs!G29)</f>
        <v>390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6.714301916751729E-2</v>
      </c>
      <c r="D20" s="227">
        <f t="shared" si="7"/>
        <v>6.6079295154185022E-2</v>
      </c>
      <c r="E20" s="227">
        <f t="shared" si="7"/>
        <v>6.8227033352837918E-2</v>
      </c>
      <c r="F20" s="227">
        <f t="shared" si="7"/>
        <v>7.1274571972098924E-2</v>
      </c>
      <c r="G20" s="227">
        <f t="shared" si="7"/>
        <v>6.8685279853191769E-2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592</v>
      </c>
      <c r="D21" s="144">
        <f>IF(Inputs!D33="","",Inputs!D33)</f>
        <v>585</v>
      </c>
      <c r="E21" s="144">
        <f>IF(Inputs!E33="","",Inputs!E33)</f>
        <v>583</v>
      </c>
      <c r="F21" s="144">
        <f>IF(Inputs!F33="","",Inputs!F33)</f>
        <v>562</v>
      </c>
      <c r="G21" s="144">
        <f>IF(Inputs!G33="","",Inputs!G33)</f>
        <v>524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7.8484745378246568E-2</v>
      </c>
      <c r="D22" s="227">
        <f t="shared" si="8"/>
        <v>4.811928159945781E-2</v>
      </c>
      <c r="E22" s="227">
        <f t="shared" si="8"/>
        <v>4.5406670567583379E-2</v>
      </c>
      <c r="F22" s="227">
        <f t="shared" si="8"/>
        <v>4.4388078630310718E-2</v>
      </c>
      <c r="G22" s="227">
        <f t="shared" si="8"/>
        <v>4.7581596539520252E-2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692</v>
      </c>
      <c r="D23" s="144">
        <f>IF(Inputs!D34="","",Inputs!D34)</f>
        <v>426</v>
      </c>
      <c r="E23" s="144">
        <f>IF(Inputs!E34="","",Inputs!E34)</f>
        <v>388</v>
      </c>
      <c r="F23" s="144">
        <f>IF(Inputs!F34="","",Inputs!F34)</f>
        <v>350</v>
      </c>
      <c r="G23" s="144">
        <f>IF(Inputs!G34="","",Inputs!G34)</f>
        <v>363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1698</v>
      </c>
      <c r="D24" s="309">
        <f t="shared" si="9"/>
        <v>1690</v>
      </c>
      <c r="E24" s="309">
        <f t="shared" si="9"/>
        <v>1607</v>
      </c>
      <c r="F24" s="309">
        <f t="shared" si="9"/>
        <v>1476</v>
      </c>
      <c r="G24" s="309">
        <f t="shared" si="9"/>
        <v>1493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0.1444368832936373</v>
      </c>
      <c r="D25" s="143">
        <f t="shared" si="10"/>
        <v>0.14317180616740088</v>
      </c>
      <c r="E25" s="143">
        <f t="shared" si="10"/>
        <v>0.14104739613809245</v>
      </c>
      <c r="F25" s="143">
        <f t="shared" si="10"/>
        <v>0.14039315155358276</v>
      </c>
      <c r="G25" s="143">
        <f t="shared" si="10"/>
        <v>0.14677546205269368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1273.5</v>
      </c>
      <c r="D26" s="276">
        <f>IF(D6="","",D24*(1-Fin_Analysis!$I$84))</f>
        <v>1267.5</v>
      </c>
      <c r="E26" s="276">
        <f>IF(E6="","",E24*(1-Fin_Analysis!$I$84))</f>
        <v>1205.25</v>
      </c>
      <c r="F26" s="276">
        <f>IF(F6="","",F24*(1-Fin_Analysis!$I$84))</f>
        <v>1107</v>
      </c>
      <c r="G26" s="276">
        <f>IF(G6="","",G24*(1-Fin_Analysis!$I$84))</f>
        <v>1119.75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4.7337278106508876E-3</v>
      </c>
      <c r="D27" s="305">
        <f t="shared" si="11"/>
        <v>5.164903546981954E-2</v>
      </c>
      <c r="E27" s="305">
        <f t="shared" si="11"/>
        <v>8.8753387533875336E-2</v>
      </c>
      <c r="F27" s="305">
        <f t="shared" si="11"/>
        <v>-1.1386470194239785E-2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27483</v>
      </c>
      <c r="D29" s="147">
        <f>IF(D36="","",D36+D32)</f>
        <v>10022</v>
      </c>
      <c r="E29" s="147">
        <f t="shared" ref="E29:M29" si="21">IF(E36="","",E36+E32)</f>
        <v>10274</v>
      </c>
      <c r="F29" s="147">
        <f t="shared" si="21"/>
        <v>10333</v>
      </c>
      <c r="G29" s="147">
        <f t="shared" si="21"/>
        <v>11149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668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16624</v>
      </c>
      <c r="D32" s="144">
        <f>IF(Inputs!D37="","",Inputs!D37)</f>
        <v>13373</v>
      </c>
      <c r="E32" s="144">
        <f>IF(Inputs!E37="","",Inputs!E37)</f>
        <v>12899</v>
      </c>
      <c r="F32" s="144">
        <f>IF(Inputs!F37="","",Inputs!F37)</f>
        <v>12618</v>
      </c>
      <c r="G32" s="144">
        <f>IF(Inputs!G37="","",Inputs!G37)</f>
        <v>11885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666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10137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10803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10859</v>
      </c>
      <c r="D36" s="144">
        <f>IF(Inputs!D41="","",Inputs!D41)</f>
        <v>-3351</v>
      </c>
      <c r="E36" s="144">
        <f>IF(Inputs!E41="","",Inputs!E41)</f>
        <v>-2625</v>
      </c>
      <c r="F36" s="144">
        <f>IF(Inputs!F41="","",Inputs!F41)</f>
        <v>-2285</v>
      </c>
      <c r="G36" s="144">
        <f>IF(Inputs!G41="","",Inputs!G41)</f>
        <v>-736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26277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8.4522586292194696E-2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0.51809005330611324</v>
      </c>
      <c r="D42" s="150">
        <f t="shared" si="35"/>
        <v>0.5062690613351406</v>
      </c>
      <c r="E42" s="150">
        <f t="shared" si="35"/>
        <v>0.50239906377998833</v>
      </c>
      <c r="F42" s="150">
        <f t="shared" si="35"/>
        <v>0.49980976537729865</v>
      </c>
      <c r="G42" s="150">
        <f t="shared" si="35"/>
        <v>0.50517761174465858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0.23001020755358967</v>
      </c>
      <c r="D43" s="146">
        <f t="shared" si="36"/>
        <v>0.23720772619451033</v>
      </c>
      <c r="E43" s="146">
        <f t="shared" si="36"/>
        <v>0.23815096547688708</v>
      </c>
      <c r="F43" s="146">
        <f t="shared" si="36"/>
        <v>0.236144578313253</v>
      </c>
      <c r="G43" s="146">
        <f t="shared" si="36"/>
        <v>0.22689736531655524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4.7975501871384822E-2</v>
      </c>
      <c r="D45" s="146">
        <f t="shared" si="38"/>
        <v>4.7667457359087312E-2</v>
      </c>
      <c r="E45" s="146">
        <f t="shared" si="38"/>
        <v>4.8566413107080167E-2</v>
      </c>
      <c r="F45" s="146">
        <f t="shared" si="38"/>
        <v>4.9968294229549778E-2</v>
      </c>
      <c r="G45" s="146">
        <f t="shared" si="38"/>
        <v>5.1120723554856466E-2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1.1341726210729272E-2</v>
      </c>
      <c r="D47" s="146">
        <f t="shared" si="40"/>
        <v>1.7960013554727212E-2</v>
      </c>
      <c r="E47" s="146">
        <f t="shared" si="40"/>
        <v>2.2820362785254535E-2</v>
      </c>
      <c r="F47" s="146">
        <f t="shared" si="40"/>
        <v>2.6886493341788206E-2</v>
      </c>
      <c r="G47" s="146">
        <f t="shared" si="40"/>
        <v>2.1103683313671517E-2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0.19258251105818305</v>
      </c>
      <c r="D48" s="281">
        <f t="shared" si="41"/>
        <v>0.19089574155653452</v>
      </c>
      <c r="E48" s="281">
        <f t="shared" si="41"/>
        <v>0.18806319485078993</v>
      </c>
      <c r="F48" s="281">
        <f t="shared" si="41"/>
        <v>0.18719086873811033</v>
      </c>
      <c r="G48" s="281">
        <f t="shared" si="41"/>
        <v>0.19570061607025824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0.32081650474838991</v>
      </c>
      <c r="D50" s="153">
        <f t="shared" si="42"/>
        <v>0.88335661544601873</v>
      </c>
      <c r="E50" s="153">
        <f t="shared" si="42"/>
        <v>0.83171111543702547</v>
      </c>
      <c r="F50" s="153">
        <f t="shared" si="42"/>
        <v>0.76308913190748084</v>
      </c>
      <c r="G50" s="153">
        <f t="shared" si="42"/>
        <v>0.68427661673692708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7.576273108767155E-2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3.7222222222222223</v>
      </c>
      <c r="D53" s="146">
        <f t="shared" si="45"/>
        <v>-0.61038961038961037</v>
      </c>
      <c r="E53" s="146">
        <f t="shared" si="45"/>
        <v>-0.42424242424242425</v>
      </c>
      <c r="F53" s="146">
        <f t="shared" si="45"/>
        <v>-0.4921875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0.39511698140668777</v>
      </c>
      <c r="D55" s="150">
        <f t="shared" si="46"/>
        <v>-0.33436439832368786</v>
      </c>
      <c r="E55" s="150">
        <f t="shared" si="46"/>
        <v>-0.25549931866848358</v>
      </c>
      <c r="F55" s="150">
        <f t="shared" si="46"/>
        <v>-0.22113616568276395</v>
      </c>
      <c r="G55" s="150">
        <f t="shared" si="46"/>
        <v>-6.6014889227733423E-2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0.15717856151069148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0.24911660777385158</v>
      </c>
      <c r="D57" s="146">
        <f t="shared" si="48"/>
        <v>0.24970414201183433</v>
      </c>
      <c r="E57" s="146">
        <f t="shared" si="48"/>
        <v>0.25824517734909769</v>
      </c>
      <c r="F57" s="146">
        <f t="shared" si="48"/>
        <v>0.26693766937669378</v>
      </c>
      <c r="G57" s="146">
        <f t="shared" si="48"/>
        <v>0.26121902210314801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0.20453080394143108</v>
      </c>
      <c r="D60" s="156">
        <f t="shared" si="50"/>
        <v>-0.67770814682184422</v>
      </c>
      <c r="E60" s="156">
        <f t="shared" si="50"/>
        <v>-0.84457142857142853</v>
      </c>
      <c r="F60" s="156">
        <f t="shared" si="50"/>
        <v>-0.91115973741794309</v>
      </c>
      <c r="G60" s="156">
        <f t="shared" si="50"/>
        <v>-2.777173913043478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0.15636798968597476</v>
      </c>
      <c r="D61" s="156">
        <f t="shared" si="51"/>
        <v>-0.50432706654729931</v>
      </c>
      <c r="E61" s="156">
        <f t="shared" si="51"/>
        <v>-0.61219047619047617</v>
      </c>
      <c r="F61" s="156">
        <f t="shared" si="51"/>
        <v>-0.64595185995623627</v>
      </c>
      <c r="G61" s="156">
        <f t="shared" si="51"/>
        <v>-2.0285326086956523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10859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10859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-15256.6</v>
      </c>
      <c r="E6" s="170">
        <f>1-D6/D3</f>
        <v>2.404972833594254</v>
      </c>
      <c r="F6" s="3"/>
      <c r="G6" s="3"/>
      <c r="H6" s="2" t="s">
        <v>24</v>
      </c>
      <c r="I6" s="168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>
        <f>C24/I28</f>
        <v>0.25971904606337798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127</v>
      </c>
      <c r="D11" s="258">
        <f>Inputs!D48</f>
        <v>0.9</v>
      </c>
      <c r="E11" s="176">
        <f t="shared" ref="E11:E22" si="0">C11*D11</f>
        <v>114.3</v>
      </c>
      <c r="F11" s="260"/>
      <c r="G11" s="3"/>
      <c r="H11" s="9" t="s">
        <v>31</v>
      </c>
      <c r="I11" s="175">
        <f>Inputs!C73</f>
        <v>666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668</v>
      </c>
      <c r="D13" s="258">
        <f>Inputs!D50</f>
        <v>0.6</v>
      </c>
      <c r="E13" s="176">
        <f t="shared" si="0"/>
        <v>400.8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666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314</v>
      </c>
      <c r="D17" s="258">
        <f>Inputs!D54</f>
        <v>0.1</v>
      </c>
      <c r="E17" s="176">
        <f t="shared" si="0"/>
        <v>31.400000000000002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24</v>
      </c>
      <c r="D22" s="258">
        <f>Inputs!D59</f>
        <v>0.05</v>
      </c>
      <c r="E22" s="176">
        <f t="shared" si="0"/>
        <v>1.2000000000000002</v>
      </c>
      <c r="F22" s="260"/>
      <c r="G22" s="3"/>
      <c r="H22" s="9" t="s">
        <v>37</v>
      </c>
      <c r="I22" s="182">
        <f>I28-SUM(I11:I14)</f>
        <v>2395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795</v>
      </c>
      <c r="D24" s="185">
        <f>IF(E24=0,0,E24/C24)</f>
        <v>0.64792452830188685</v>
      </c>
      <c r="E24" s="176">
        <f>SUM(E11:E14)</f>
        <v>515.1</v>
      </c>
      <c r="F24" s="186">
        <f>E24/$E$28</f>
        <v>0.9404783640679204</v>
      </c>
      <c r="G24" s="3"/>
    </row>
    <row r="25" spans="2:10" ht="15" customHeight="1" x14ac:dyDescent="0.35">
      <c r="B25" s="183" t="s">
        <v>47</v>
      </c>
      <c r="C25" s="184">
        <f>SUM(C15:C17)</f>
        <v>314</v>
      </c>
      <c r="D25" s="185">
        <f>IF(E25=0,0,E25/C25)</f>
        <v>0.1</v>
      </c>
      <c r="E25" s="176">
        <f>SUM(E15:E17)</f>
        <v>31.400000000000002</v>
      </c>
      <c r="F25" s="186">
        <f>E25/$E$28</f>
        <v>5.733065546832207E-2</v>
      </c>
      <c r="G25" s="3"/>
      <c r="H25" s="183" t="s">
        <v>48</v>
      </c>
      <c r="I25" s="168">
        <f>E28/I28</f>
        <v>0.17892845475334859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0.77342342342342341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24</v>
      </c>
      <c r="D27" s="185">
        <f>IF(E27=0,0,E27/C27)</f>
        <v>5.000000000000001E-2</v>
      </c>
      <c r="E27" s="176">
        <f>E21+E22</f>
        <v>1.2000000000000002</v>
      </c>
      <c r="F27" s="186">
        <f>E27/$E$28</f>
        <v>2.1909804637575314E-3</v>
      </c>
      <c r="G27" s="3"/>
      <c r="H27" s="183" t="s">
        <v>52</v>
      </c>
      <c r="I27" s="168">
        <f>(E25+E24)/$I$28</f>
        <v>0.17853642600457367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1133</v>
      </c>
      <c r="D28" s="190">
        <f>E28/C28</f>
        <v>0.48340688437775819</v>
      </c>
      <c r="E28" s="191">
        <f>SUM(E24:E27)</f>
        <v>547.70000000000005</v>
      </c>
      <c r="F28" s="87"/>
      <c r="G28" s="3"/>
      <c r="H28" s="188" t="s">
        <v>15</v>
      </c>
      <c r="I28" s="161">
        <f>Inputs!C77</f>
        <v>3061</v>
      </c>
      <c r="J28" s="192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10137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10137</v>
      </c>
      <c r="J34" s="3"/>
    </row>
    <row r="35" spans="2:10" ht="11.65" x14ac:dyDescent="0.35">
      <c r="B35" s="9" t="s">
        <v>62</v>
      </c>
      <c r="C35" s="175">
        <f>Inputs!C65</f>
        <v>1079</v>
      </c>
      <c r="D35" s="258">
        <f>Inputs!D65</f>
        <v>0.1</v>
      </c>
      <c r="E35" s="176">
        <f t="shared" si="1"/>
        <v>107.9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2013</v>
      </c>
      <c r="D38" s="258">
        <f>Inputs!D68</f>
        <v>0.1</v>
      </c>
      <c r="E38" s="176">
        <f t="shared" si="1"/>
        <v>201.3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10210</v>
      </c>
      <c r="D40" s="258">
        <f>Inputs!D70</f>
        <v>0.05</v>
      </c>
      <c r="E40" s="176">
        <f t="shared" si="1"/>
        <v>510.5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13048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1079</v>
      </c>
      <c r="D45" s="185">
        <f>IF(E45=0,0,E45/C45)</f>
        <v>0.1</v>
      </c>
      <c r="E45" s="176">
        <f>SUM(E32:E35)</f>
        <v>107.9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2013</v>
      </c>
      <c r="D46" s="185">
        <f>IF(E46=0,0,E46/C46)</f>
        <v>0.1</v>
      </c>
      <c r="E46" s="176">
        <f>E36+E37+E38+E39</f>
        <v>201.3</v>
      </c>
      <c r="F46" s="3"/>
      <c r="G46" s="3"/>
      <c r="H46" s="183" t="s">
        <v>73</v>
      </c>
      <c r="I46" s="168">
        <f>(E44+E24)/E64</f>
        <v>4.7681199666759239E-2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23258</v>
      </c>
      <c r="D47" s="185">
        <f>IF(E47=0,0,E47/C47)</f>
        <v>2.1949436752945223E-2</v>
      </c>
      <c r="E47" s="176">
        <f>E40+E41+E42</f>
        <v>510.5</v>
      </c>
      <c r="F47" s="3"/>
      <c r="G47" s="3"/>
      <c r="H47" s="183" t="s">
        <v>75</v>
      </c>
      <c r="I47" s="168">
        <f>(E44+E45+E24+E25)/$I$49</f>
        <v>3.9364773820981712E-2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26350</v>
      </c>
      <c r="D48" s="195">
        <f>E48/C48</f>
        <v>3.1108159392789377E-2</v>
      </c>
      <c r="E48" s="196">
        <f>SUM(E30:E42)</f>
        <v>819.7</v>
      </c>
      <c r="F48" s="3"/>
      <c r="G48" s="3"/>
      <c r="H48" s="91" t="s">
        <v>77</v>
      </c>
      <c r="I48" s="197">
        <f>I49-I28</f>
        <v>13563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27483</v>
      </c>
      <c r="D49" s="170">
        <f>E49/C49</f>
        <v>4.9754393625150099E-2</v>
      </c>
      <c r="E49" s="176">
        <f>E28+E48</f>
        <v>1367.4</v>
      </c>
      <c r="F49" s="3"/>
      <c r="G49" s="3"/>
      <c r="H49" s="9" t="s">
        <v>78</v>
      </c>
      <c r="I49" s="175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10803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1079</v>
      </c>
      <c r="D61" s="170">
        <f t="shared" ref="D61:D70" si="2">IF(E61=0,0,E61/C61)</f>
        <v>0.1</v>
      </c>
      <c r="E61" s="182">
        <f>E14+E15+(E19*G19)+(E20*G20)+E31+E32+(E35*G35)+(E36*G36)+(E37*G37)</f>
        <v>107.9</v>
      </c>
      <c r="F61" s="3"/>
      <c r="G61" s="3"/>
      <c r="H61" s="2" t="s">
        <v>253</v>
      </c>
      <c r="I61" s="203">
        <f>C99*Data!$C$4/Common_Shares</f>
        <v>-44.977920883858978</v>
      </c>
      <c r="K61" s="172"/>
    </row>
    <row r="62" spans="2:11" ht="11.65" x14ac:dyDescent="0.35">
      <c r="B62" s="12" t="s">
        <v>127</v>
      </c>
      <c r="C62" s="204">
        <f>C11+C30</f>
        <v>127</v>
      </c>
      <c r="D62" s="205">
        <f t="shared" si="2"/>
        <v>0.9</v>
      </c>
      <c r="E62" s="206">
        <f>E11+E30</f>
        <v>114.3</v>
      </c>
      <c r="F62" s="3"/>
      <c r="G62" s="3"/>
      <c r="H62" s="2" t="s">
        <v>274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1206</v>
      </c>
      <c r="D63" s="34">
        <f t="shared" si="2"/>
        <v>0.18424543946932007</v>
      </c>
      <c r="E63" s="184">
        <f>E61+E62</f>
        <v>222.2</v>
      </c>
      <c r="F63" s="3"/>
      <c r="G63" s="3"/>
      <c r="H63" s="2" t="s">
        <v>254</v>
      </c>
      <c r="I63" s="207">
        <f>IF(I61&gt;0,FV(I62,D93,0,-I61),I61)</f>
        <v>-44.977920883858978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10803</v>
      </c>
      <c r="F64" s="3"/>
      <c r="G64" s="3"/>
      <c r="H64" s="2" t="s">
        <v>255</v>
      </c>
      <c r="I64" s="207">
        <f>IF(I61&gt;0,PV(C94,D93,0,-I63),I61)</f>
        <v>-44.977920883858978</v>
      </c>
      <c r="K64" s="172"/>
    </row>
    <row r="65" spans="1:11" ht="12" thickTop="1" x14ac:dyDescent="0.35">
      <c r="B65" s="9" t="s">
        <v>130</v>
      </c>
      <c r="C65" s="202">
        <f>C63-E64</f>
        <v>-9597</v>
      </c>
      <c r="D65" s="34">
        <f t="shared" si="2"/>
        <v>1.1025112014171095</v>
      </c>
      <c r="E65" s="184">
        <f>E63-E64</f>
        <v>-10580.8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26277</v>
      </c>
      <c r="D68" s="34">
        <f t="shared" si="2"/>
        <v>4.3581839631617006E-2</v>
      </c>
      <c r="E68" s="202">
        <f>E49-E63</f>
        <v>1145.2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5821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20456</v>
      </c>
      <c r="D70" s="34">
        <f t="shared" si="2"/>
        <v>-0.228578412201799</v>
      </c>
      <c r="E70" s="202">
        <f>E68-E69</f>
        <v>-4675.8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8817</v>
      </c>
      <c r="D74" s="98"/>
      <c r="E74" s="256">
        <f>Inputs!E91</f>
        <v>8817</v>
      </c>
      <c r="F74" s="98"/>
      <c r="H74" s="256">
        <f>Inputs!F91</f>
        <v>8817</v>
      </c>
      <c r="I74" s="98"/>
      <c r="K74" s="75"/>
    </row>
    <row r="75" spans="1:11" ht="15" customHeight="1" x14ac:dyDescent="0.35">
      <c r="B75" s="100" t="s">
        <v>97</v>
      </c>
      <c r="C75" s="97">
        <f>Data!C8</f>
        <v>4568</v>
      </c>
      <c r="D75" s="101">
        <f>C75/$C$74</f>
        <v>0.51809005330611324</v>
      </c>
      <c r="E75" s="256">
        <f>Inputs!E92</f>
        <v>4568</v>
      </c>
      <c r="F75" s="211">
        <f>E75/E74</f>
        <v>0.51809005330611324</v>
      </c>
      <c r="H75" s="256">
        <f>Inputs!F92</f>
        <v>4568</v>
      </c>
      <c r="I75" s="211">
        <f>H75/$H$74</f>
        <v>0.51809005330611324</v>
      </c>
      <c r="K75" s="75"/>
    </row>
    <row r="76" spans="1:11" ht="15" customHeight="1" x14ac:dyDescent="0.35">
      <c r="B76" s="12" t="s">
        <v>87</v>
      </c>
      <c r="C76" s="145">
        <f>C74-C75</f>
        <v>4249</v>
      </c>
      <c r="D76" s="212"/>
      <c r="E76" s="213">
        <f>E74-E75</f>
        <v>4249</v>
      </c>
      <c r="F76" s="212"/>
      <c r="H76" s="213">
        <f>H74-H75</f>
        <v>4249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2028</v>
      </c>
      <c r="D77" s="101">
        <f>C77/$C$74</f>
        <v>0.23001020755358967</v>
      </c>
      <c r="E77" s="256">
        <f>Inputs!E93</f>
        <v>2028</v>
      </c>
      <c r="F77" s="211">
        <f>E77/E74</f>
        <v>0.23001020755358967</v>
      </c>
      <c r="H77" s="256">
        <f>Inputs!F93</f>
        <v>2028</v>
      </c>
      <c r="I77" s="211">
        <f>H77/$H$74</f>
        <v>0.23001020755358967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2221</v>
      </c>
      <c r="D79" s="217">
        <f>C79/C74</f>
        <v>0.25189973914029717</v>
      </c>
      <c r="E79" s="218">
        <f>E76-E77-E78</f>
        <v>2221</v>
      </c>
      <c r="F79" s="217">
        <f>E79/E74</f>
        <v>0.25189973914029717</v>
      </c>
      <c r="G79" s="219"/>
      <c r="H79" s="218">
        <f>H76-H77-H78</f>
        <v>2221</v>
      </c>
      <c r="I79" s="217">
        <f>H79/H74</f>
        <v>0.25189973914029717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423</v>
      </c>
      <c r="D81" s="101">
        <f>C81/$C$74</f>
        <v>4.7975501871384822E-2</v>
      </c>
      <c r="E81" s="214">
        <f>E74*F81</f>
        <v>423</v>
      </c>
      <c r="F81" s="211">
        <f>I81</f>
        <v>4.7975501871384822E-2</v>
      </c>
      <c r="H81" s="256">
        <f>Inputs!F94</f>
        <v>423</v>
      </c>
      <c r="I81" s="211">
        <f>H81/$H$74</f>
        <v>4.7975501871384822E-2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100</v>
      </c>
      <c r="D82" s="101">
        <f>C82/$C$74</f>
        <v>1.1341726210729272E-2</v>
      </c>
      <c r="E82" s="256">
        <f>Inputs!E95</f>
        <v>100</v>
      </c>
      <c r="F82" s="211">
        <f>E82/E74</f>
        <v>1.1341726210729272E-2</v>
      </c>
      <c r="H82" s="256">
        <f>Inputs!F95</f>
        <v>100</v>
      </c>
      <c r="I82" s="211">
        <f>H82/$H$74</f>
        <v>1.1341726210729272E-2</v>
      </c>
      <c r="K82" s="75"/>
    </row>
    <row r="83" spans="1:11" ht="15" customHeight="1" thickBot="1" x14ac:dyDescent="0.4">
      <c r="B83" s="221" t="s">
        <v>113</v>
      </c>
      <c r="C83" s="222">
        <f>C79-C81-C82-C80</f>
        <v>1698</v>
      </c>
      <c r="D83" s="223">
        <f>C83/$C$74</f>
        <v>0.19258251105818305</v>
      </c>
      <c r="E83" s="224">
        <f>E79-E81-E82-E80</f>
        <v>1698</v>
      </c>
      <c r="F83" s="223">
        <f>E83/E74</f>
        <v>0.19258251105818305</v>
      </c>
      <c r="H83" s="224">
        <f>H79-H81-H82-H80</f>
        <v>1698</v>
      </c>
      <c r="I83" s="223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1273.5</v>
      </c>
      <c r="D85" s="217">
        <f>C85/$C$74</f>
        <v>0.1444368832936373</v>
      </c>
      <c r="E85" s="229">
        <f>E83*(1-F84)</f>
        <v>1273.5</v>
      </c>
      <c r="F85" s="217">
        <f>E85/E74</f>
        <v>0.1444368832936373</v>
      </c>
      <c r="G85" s="219"/>
      <c r="H85" s="229">
        <f>H83*(1-I84)</f>
        <v>1273.5</v>
      </c>
      <c r="I85" s="217">
        <f>H85/$H$74</f>
        <v>0.1444368832936373</v>
      </c>
      <c r="K85" s="75"/>
    </row>
    <row r="86" spans="1:11" ht="15" customHeight="1" x14ac:dyDescent="0.35">
      <c r="B86" s="3" t="s">
        <v>143</v>
      </c>
      <c r="C86" s="230">
        <f>C85*Data!C4/Common_Shares</f>
        <v>3.7544002101119784</v>
      </c>
      <c r="D86" s="98"/>
      <c r="E86" s="231">
        <f>E85*Data!C4/Common_Shares</f>
        <v>3.7544002101119784</v>
      </c>
      <c r="F86" s="98"/>
      <c r="H86" s="231">
        <f>H85*Data!C4/Common_Shares</f>
        <v>3.7544002101119784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0.17963637368956836</v>
      </c>
      <c r="D87" s="98"/>
      <c r="E87" s="233">
        <f>E86*Exchange_Rate/Dashboard!G3</f>
        <v>0.17963637368956836</v>
      </c>
      <c r="F87" s="98"/>
      <c r="H87" s="233">
        <f>H86*Exchange_Rate/Dashboard!G3</f>
        <v>0.17963637368956836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1.08</v>
      </c>
      <c r="D88" s="235">
        <f>C88/C86</f>
        <v>0.28766245992932865</v>
      </c>
      <c r="E88" s="255">
        <f>Inputs!E98</f>
        <v>1.08</v>
      </c>
      <c r="F88" s="235">
        <f>E88/E86</f>
        <v>0.28766245992932865</v>
      </c>
      <c r="H88" s="255">
        <f>Inputs!F98</f>
        <v>1.08</v>
      </c>
      <c r="I88" s="235">
        <f>H88/H86</f>
        <v>0.28766245992932865</v>
      </c>
      <c r="K88" s="75"/>
    </row>
    <row r="89" spans="1:11" ht="15" customHeight="1" x14ac:dyDescent="0.35">
      <c r="B89" s="3" t="s">
        <v>193</v>
      </c>
      <c r="C89" s="232">
        <f>C88*Exchange_Rate/Dashboard!G3</f>
        <v>5.1674641148325366E-2</v>
      </c>
      <c r="D89" s="98"/>
      <c r="E89" s="232">
        <f>E88*Exchange_Rate/Dashboard!G3</f>
        <v>5.1674641148325366E-2</v>
      </c>
      <c r="F89" s="98"/>
      <c r="H89" s="232">
        <f>H88*Exchange_Rate/Dashboard!G3</f>
        <v>5.1674641148325366E-2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132.18144573426144</v>
      </c>
      <c r="H93" s="3" t="s">
        <v>182</v>
      </c>
      <c r="I93" s="237">
        <f>FV(H87,D93,0,-(H86/(C93-D94)))*Exchange_Rate</f>
        <v>132.18144573426144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1.4999999999999999E-2</v>
      </c>
      <c r="E94" s="3" t="s">
        <v>183</v>
      </c>
      <c r="F94" s="237">
        <f>FV(E89,D93,0,-(E88/(C93-D94)))*Exchange_Rate</f>
        <v>24.020756119532777</v>
      </c>
      <c r="H94" s="3" t="s">
        <v>183</v>
      </c>
      <c r="I94" s="237">
        <f>FV(H89,D93,0,-(H88/(C93-D94)))*Exchange_Rate</f>
        <v>24.020756119532777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25635.247810606641</v>
      </c>
      <c r="D97" s="244"/>
      <c r="E97" s="245">
        <f>PV(C94,D93,0,-F93)</f>
        <v>75.575170605743395</v>
      </c>
      <c r="F97" s="244"/>
      <c r="H97" s="245">
        <f>PV(C94,D93,0,-I93)</f>
        <v>75.575170605743395</v>
      </c>
      <c r="I97" s="245">
        <f>PV(C93,D93,0,-I93)</f>
        <v>100.84059207218783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-15256.599999999999</v>
      </c>
      <c r="D99" s="248"/>
      <c r="E99" s="249">
        <f>IF(H99&gt;0,I64,H99)</f>
        <v>-44.977920883858978</v>
      </c>
      <c r="F99" s="248"/>
      <c r="H99" s="249">
        <f>I64</f>
        <v>-44.977920883858978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26.007662263601755</v>
      </c>
      <c r="E100" s="251">
        <f>MAX(E97+H98+E99,0)</f>
        <v>30.597249721884417</v>
      </c>
      <c r="F100" s="251">
        <f>(E100+H100)/2</f>
        <v>30.597249721884417</v>
      </c>
      <c r="H100" s="251">
        <f>MAX(H97+H98+H99,0)</f>
        <v>30.597249721884417</v>
      </c>
      <c r="I100" s="251">
        <f>MAX(I97+H98+H99,0)</f>
        <v>55.862671188328854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11.673853482000345</v>
      </c>
      <c r="E103" s="245">
        <f>PV(C94,D93,0,-F94)</f>
        <v>13.733945272941583</v>
      </c>
      <c r="F103" s="251">
        <f>(E103+H103)/2</f>
        <v>13.733945272941583</v>
      </c>
      <c r="H103" s="245">
        <f>PV(C94,D93,0,-I94)</f>
        <v>13.733945272941583</v>
      </c>
      <c r="I103" s="251">
        <f>PV(C93,D93,0,-I94)</f>
        <v>18.325319833352847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18.840757872801049</v>
      </c>
      <c r="E106" s="245">
        <f>(E100+E103)/2</f>
        <v>22.165597497413</v>
      </c>
      <c r="F106" s="251">
        <f>(F100+F103)/2</f>
        <v>22.165597497413</v>
      </c>
      <c r="H106" s="245">
        <f>(H100+H103)/2</f>
        <v>22.165597497413</v>
      </c>
      <c r="I106" s="245">
        <f>(I100+I103)/2</f>
        <v>37.093995510840848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