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BF2838E-D3C9-40F0-96A3-E4558283B7B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2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4" i="4"/>
  <c r="F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<sst xmlns="http://schemas.openxmlformats.org/spreadsheetml/2006/main" count="390" uniqueCount="269">
  <si>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</si>
  <si>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</si>
  <si>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</si>
  <si>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</si>
  <si>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</si>
  <si>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</si>
  <si>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</si>
  <si>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</si>
  <si>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</si>
  <si>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</si>
  <si>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</si>
  <si>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</si>
  <si>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</si>
  <si>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</si>
  <si>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</si>
  <si>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</si>
  <si>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</si>
  <si>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</si>
  <si>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</si>
  <si>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</si>
  <si>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</si>
  <si>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</si>
  <si>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</si>
  <si>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</si>
  <si>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</si>
  <si>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</si>
  <si>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</si>
  <si>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</si>
  <si>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</si>
  <si>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</si>
  <si>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</si>
  <si>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</si>
  <si>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</si>
  <si>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</si>
  <si>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</si>
  <si>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</si>
  <si>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</si>
  <si>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</si>
  <si>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</si>
  <si>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</si>
  <si>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</si>
  <si>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</si>
  <si>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</si>
  <si>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</si>
  <si>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</si>
  <si>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</si>
  <si>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</si>
  <si>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</si>
  <si>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</si>
  <si>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</si>
  <si>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</si>
  <si>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</si>
  <si>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</si>
  <si>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</si>
  <si>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</si>
  <si>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</si>
  <si>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</si>
  <si>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</si>
  <si>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</si>
  <si>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</si>
  <si>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</si>
  <si>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</si>
  <si>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</si>
  <si>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</si>
  <si>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</si>
  <si>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</si>
  <si>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</si>
  <si>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</si>
  <si>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</si>
  <si>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</si>
  <si>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</si>
  <si>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</si>
  <si>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</si>
  <si>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</si>
  <si>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</si>
  <si>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</si>
  <si>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</si>
  <si>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</si>
  <si>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</si>
  <si>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</si>
  <si>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</si>
  <si>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</si>
  <si>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</si>
  <si>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</si>
  <si>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</si>
  <si>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</si>
  <si>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</si>
  <si>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</si>
  <si>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</si>
  <si>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</si>
  <si>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</si>
  <si>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</si>
  <si>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</si>
  <si>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</si>
  <si>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</si>
  <si>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</si>
  <si>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</si>
  <si>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</si>
  <si>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</si>
  <si>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</si>
  <si>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</si>
  <si>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</si>
  <si>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</si>
  <si>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</si>
  <si>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</si>
  <si>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</si>
  <si>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</si>
  <si>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</si>
  <si>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</si>
  <si>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</si>
  <si>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</si>
  <si>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</si>
  <si>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</si>
  <si>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</si>
  <si>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</si>
  <si>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</si>
  <si>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</si>
  <si>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</si>
  <si>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</si>
  <si>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</si>
  <si>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</si>
  <si>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</si>
  <si>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</si>
  <si>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</si>
  <si>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</si>
  <si>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</si>
  <si>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</si>
  <si>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</si>
  <si>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</si>
  <si>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</si>
  <si>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</si>
  <si>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</si>
  <si>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</si>
  <si>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</si>
  <si>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</si>
  <si>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</si>
  <si>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</si>
  <si>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</si>
  <si>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</si>
  <si>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</si>
  <si>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</si>
  <si>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</si>
  <si>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</si>
  <si>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</si>
  <si>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</si>
  <si>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</si>
  <si>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</si>
  <si>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</si>
  <si>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</si>
  <si>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</si>
  <si>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</si>
  <si>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</si>
  <si>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</si>
  <si>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</si>
  <si>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</si>
  <si>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</si>
  <si>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</si>
  <si>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</si>
  <si>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</si>
  <si>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</si>
  <si>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</si>
  <si>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</si>
  <si>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</si>
  <si>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</si>
  <si>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</si>
  <si>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</si>
  <si>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</si>
  <si>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</si>
  <si>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</si>
  <si>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</si>
  <si>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</si>
  <si>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</si>
  <si>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</si>
  <si>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</si>
  <si>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</si>
  <si>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</si>
  <si>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</si>
  <si>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</si>
  <si>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</si>
  <si>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</si>
  <si>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</si>
  <si>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</si>
  <si>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</si>
  <si>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</si>
  <si>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</si>
  <si>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</si>
  <si>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</si>
  <si>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</si>
  <si>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</si>
  <si>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</si>
  <si>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</si>
  <si>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</si>
  <si>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</si>
  <si>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</si>
  <si>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</si>
  <si>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</si>
  <si>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</si>
  <si>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</si>
  <si>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</si>
  <si>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</si>
  <si>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</si>
  <si>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</si>
  <si>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</si>
  <si>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</si>
  <si>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</si>
  <si>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</si>
  <si>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</si>
  <si>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</si>
  <si>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</si>
  <si>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</si>
  <si>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</si>
  <si>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</si>
  <si>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</si>
  <si>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</si>
  <si>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</si>
  <si>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</si>
  <si>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</si>
  <si>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</si>
  <si>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</si>
  <si>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</si>
  <si>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</si>
  <si>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</si>
  <si>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</si>
  <si>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</si>
  <si>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</si>
  <si>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</si>
  <si>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</si>
  <si>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</si>
  <si>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</si>
  <si>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</si>
  <si>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</si>
  <si>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</si>
  <si>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</si>
  <si>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</si>
  <si>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</si>
  <si>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</si>
  <si>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</si>
  <si>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</si>
  <si>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</si>
  <si>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</si>
  <si>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</si>
  <si>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</si>
  <si>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</si>
  <si>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</si>
  <si>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</si>
  <si>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</si>
  <si>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</si>
  <si>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</si>
  <si>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</si>
  <si>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</si>
  <si>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</si>
  <si>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</si>
  <si>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</si>
  <si>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</si>
  <si>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</si>
  <si>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</si>
  <si>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</si>
  <si>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</si>
  <si>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</si>
  <si>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</si>
  <si>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0268.HK</t>
  </si>
  <si>
    <t>金蝶国际</t>
  </si>
  <si>
    <t>C0009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</si>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</sst>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3585854271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5679073</v>
      </c>
      <c r="D25" s="150">
        <v>4865769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2035084</v>
      </c>
      <c r="D26" s="151">
        <v>1868136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2809609</v>
      </c>
      <c r="D27" s="151">
        <v>2530441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1439671</v>
      </c>
      <c r="D28" s="151">
        <v>1295476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21953</v>
      </c>
      <c r="D29" s="151">
        <v>7661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-59916</v>
      </c>
      <c r="D30" s="151">
        <v>-63246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5679073</v>
      </c>
      <c r="D91" s="210"/>
      <c r="E91" s="252">
        <f>C91</f>
        <v>5679073</v>
      </c>
      <c r="F91" s="252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60">
        <f>C92/C91</f>
        <v>0.35834792051449244</v>
      </c>
      <c r="E92" s="253">
        <f>E91*D92</f>
        <v>2035084</v>
      </c>
      <c r="F92" s="253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60">
        <f>C93/C91</f>
        <v>0.74823479113580682</v>
      </c>
      <c r="E93" s="253">
        <f>E91*D93</f>
        <v>4249280</v>
      </c>
      <c r="F93" s="253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60">
        <f>C94/C91</f>
        <v>3.8655956702792868E-3</v>
      </c>
      <c r="E94" s="254"/>
      <c r="F94" s="253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0268.HK</v>
      </c>
      <c r="D3" s="277"/>
      <c r="E3" s="87"/>
      <c r="F3" s="3" t="s">
        <v>1</v>
      </c>
      <c r="G3" s="132">
        <v>8.7899999999999991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金蝶国际</v>
      </c>
      <c r="D4" s="279"/>
      <c r="E4" s="87"/>
      <c r="F4" s="3" t="s">
        <v>2</v>
      </c>
      <c r="G4" s="282">
        <f>Inputs!C10</f>
        <v>3585854271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31519.659042089996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0.35834792051449244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3.8655956702792868E-3</v>
      </c>
      <c r="F24" s="140" t="s">
        <v>259</v>
      </c>
      <c r="G24" s="269">
        <f>G3/(Fin_Analysis!H86*G7)</f>
        <v>-62.475932067533563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-0.11044830732057855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5679073</v>
      </c>
      <c r="D6" s="201">
        <f>IF(Inputs!D25="","",Inputs!D25)</f>
        <v>4865769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2035084</v>
      </c>
      <c r="D8" s="200">
        <f>IF(Inputs!D26="","",Inputs!D26)</f>
        <v>1868136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3643989</v>
      </c>
      <c r="D9" s="152">
        <f t="shared" si="2"/>
        <v>2997633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2809609</v>
      </c>
      <c r="D10" s="200">
        <f>IF(Inputs!D27="","",Inputs!D27)</f>
        <v>2530441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1439671</v>
      </c>
      <c r="D11" s="200">
        <f>IF(Inputs!D28="","",Inputs!D28)</f>
        <v>1295476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-0.10658271165029927</v>
      </c>
      <c r="D13" s="230">
        <f t="shared" si="3"/>
        <v>-0.17022674113793729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-605291</v>
      </c>
      <c r="D14" s="231">
        <f t="shared" ref="D14:M14" si="4">IF(D6="","",D9-D10-MAX(D11,0)-MAX(D12,0))</f>
        <v>-828284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0.26922287524568866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21953</v>
      </c>
      <c r="D17" s="200">
        <f>IF(Inputs!D29="","",Inputs!D29)</f>
        <v>7661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-627244</v>
      </c>
      <c r="D22" s="162">
        <f t="shared" ref="D22:M22" si="8">IF(D6="","",D14-MAX(D16,0)-MAX(D17,0)-ABS(MAX(D21,0)-MAX(D19,0)))</f>
        <v>-835945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-8.2836230490433913E-2</v>
      </c>
      <c r="D23" s="154">
        <f t="shared" si="9"/>
        <v>-0.12885090722555881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0.24965876941664822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0.35834792051449244</v>
      </c>
      <c r="D42" s="157">
        <f t="shared" si="34"/>
        <v>0.38393437912897221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0.74823479113580682</v>
      </c>
      <c r="D43" s="154">
        <f t="shared" si="35"/>
        <v>0.78629236200896513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3.8655956702792868E-3</v>
      </c>
      <c r="D45" s="154">
        <f t="shared" si="37"/>
        <v>1.5744684961411033E-3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-0.11044830732057855</v>
      </c>
      <c r="D48" s="154">
        <f t="shared" si="40"/>
        <v>-0.17180120963407838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-3.4999139091007644E-2</v>
      </c>
      <c r="D55" s="154">
        <f t="shared" si="45"/>
        <v>-9.1644785243048289E-3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10"/>
      <c r="E74" s="239">
        <f>Inputs!E91</f>
        <v>5679073</v>
      </c>
      <c r="F74" s="210"/>
      <c r="H74" s="239">
        <f>Inputs!F91</f>
        <v>5679073</v>
      </c>
      <c r="I74" s="210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60">
        <f>C75/$C$74</f>
        <v>0.35834792051449244</v>
      </c>
      <c r="E75" s="239">
        <f>Inputs!E92</f>
        <v>2035084</v>
      </c>
      <c r="F75" s="161">
        <f>E75/E74</f>
        <v>0.35834792051449244</v>
      </c>
      <c r="H75" s="239">
        <f>Inputs!F92</f>
        <v>2035084</v>
      </c>
      <c r="I75" s="161">
        <f>H75/$H$74</f>
        <v>0.35834792051449244</v>
      </c>
      <c r="K75" s="24"/>
    </row>
    <row r="76" spans="1:11" ht="15" customHeight="1" x14ac:dyDescent="0.4">
      <c r="B76" s="35" t="s">
        <v>95</v>
      </c>
      <c r="C76" s="162">
        <f>C74-C75</f>
        <v>3643989</v>
      </c>
      <c r="D76" s="211"/>
      <c r="E76" s="163">
        <f>E74-E75</f>
        <v>3643989</v>
      </c>
      <c r="F76" s="211"/>
      <c r="H76" s="163">
        <f>H74-H75</f>
        <v>3643989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60">
        <f>C77/$C$74</f>
        <v>0.74823479113580682</v>
      </c>
      <c r="E77" s="239">
        <f>Inputs!E93</f>
        <v>4249280</v>
      </c>
      <c r="F77" s="161">
        <f>E77/E74</f>
        <v>0.74823479113580682</v>
      </c>
      <c r="H77" s="239">
        <f>Inputs!F93</f>
        <v>4249280</v>
      </c>
      <c r="I77" s="161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-605291</v>
      </c>
      <c r="D79" s="259">
        <f>C79/C74</f>
        <v>-0.10658271165029927</v>
      </c>
      <c r="E79" s="260">
        <f>E76-E77-E78</f>
        <v>-605291</v>
      </c>
      <c r="F79" s="259">
        <f>E79/E74</f>
        <v>-0.10658271165029927</v>
      </c>
      <c r="G79" s="261"/>
      <c r="H79" s="260">
        <f>H76-H77-H78</f>
        <v>-605291</v>
      </c>
      <c r="I79" s="259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60">
        <f>C81/$C$74</f>
        <v>3.8655956702792868E-3</v>
      </c>
      <c r="E81" s="181">
        <f>E74*F81</f>
        <v>21953</v>
      </c>
      <c r="F81" s="161">
        <f>I81</f>
        <v>3.8655956702792868E-3</v>
      </c>
      <c r="H81" s="239">
        <f>Inputs!F94</f>
        <v>21953</v>
      </c>
      <c r="I81" s="161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-627244</v>
      </c>
      <c r="D83" s="165">
        <f>C83/$C$74</f>
        <v>-0.11044830732057855</v>
      </c>
      <c r="E83" s="166">
        <f>E79-E81-E82-E80</f>
        <v>-627244</v>
      </c>
      <c r="F83" s="165">
        <f>E83/E74</f>
        <v>-0.11044830732057855</v>
      </c>
      <c r="H83" s="166">
        <f>H79-H81-H82-H80</f>
        <v>-627244</v>
      </c>
      <c r="I83" s="165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-470433</v>
      </c>
      <c r="D85" s="259">
        <f>C85/$C$74</f>
        <v>-8.2836230490433913E-2</v>
      </c>
      <c r="E85" s="265">
        <f>E83*(1-F84)</f>
        <v>-470433</v>
      </c>
      <c r="F85" s="259">
        <f>E85/E74</f>
        <v>-8.2836230490433913E-2</v>
      </c>
      <c r="G85" s="261"/>
      <c r="H85" s="265">
        <f>H83*(1-I84)</f>
        <v>-470433</v>
      </c>
      <c r="I85" s="259">
        <f>H85/$H$74</f>
        <v>-8.2836230490433913E-2</v>
      </c>
      <c r="K85" s="24"/>
    </row>
    <row r="86" spans="1:11" ht="15" customHeight="1" x14ac:dyDescent="0.4">
      <c r="B86" s="87" t="s">
        <v>160</v>
      </c>
      <c r="C86" s="168">
        <f>C85*Data!C4/Common_Shares</f>
        <v>-0.13119133251023296</v>
      </c>
      <c r="D86" s="210"/>
      <c r="E86" s="169">
        <f>E85*Data!C4/Common_Shares</f>
        <v>-0.13119133251023296</v>
      </c>
      <c r="F86" s="210"/>
      <c r="H86" s="169">
        <f>H85*Data!C4/Common_Shares</f>
        <v>-0.13119133251023296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-1.6006163764296411E-2</v>
      </c>
      <c r="D87" s="210"/>
      <c r="E87" s="263">
        <f>E86*Exchange_Rate/Dashboard!G3</f>
        <v>-1.6006163764296411E-2</v>
      </c>
      <c r="F87" s="210"/>
      <c r="H87" s="263">
        <f>H86*Exchange_Rate/Dashboard!G3</f>
        <v>-1.6006163764296411E-2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-1.8026255595657883</v>
      </c>
      <c r="H93" s="87" t="s">
        <v>209</v>
      </c>
      <c r="I93" s="144">
        <f>FV(H87,D93,0,-(H86/C93))*Exchange_Rate</f>
        <v>-1.8026255595657883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-3213726.8317901636</v>
      </c>
      <c r="D97" s="214"/>
      <c r="E97" s="123">
        <f>PV(C94,D93,0,-F93)</f>
        <v>-0.8962234906701716</v>
      </c>
      <c r="F97" s="214"/>
      <c r="H97" s="123">
        <f>PV(C94,D93,0,-I93)</f>
        <v>-0.8962234906701716</v>
      </c>
      <c r="I97" s="123">
        <f>PV(C93,D93,0,-I93)</f>
        <v>-1.2733025179238715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-3213726.8317901636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