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817E08-5C22-411A-A9BE-530DA4772CE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<sst xmlns="http://schemas.openxmlformats.org/spreadsheetml/2006/main" count="390" uniqueCount="267">
  <si>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</si>
  <si>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</si>
  <si>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</si>
  <si>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</si>
  <si>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</si>
  <si>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</si>
  <si>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</si>
  <si>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</si>
  <si>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</si>
  <si>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</si>
  <si>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</si>
  <si>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</si>
  <si>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</si>
  <si>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</si>
  <si>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</si>
  <si>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</si>
  <si>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</si>
  <si>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</si>
  <si>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</si>
  <si>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</si>
  <si>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</si>
  <si>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</si>
  <si>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</si>
  <si>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</si>
  <si>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</si>
  <si>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</si>
  <si>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</si>
  <si>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</si>
  <si>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</si>
  <si>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</si>
  <si>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</si>
  <si>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</si>
  <si>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</si>
  <si>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</si>
  <si>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</si>
  <si>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</si>
  <si>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</si>
  <si>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</si>
  <si>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</si>
  <si>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</si>
  <si>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</si>
  <si>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</si>
  <si>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</si>
  <si>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</si>
  <si>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</si>
  <si>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</si>
  <si>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</si>
  <si>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</si>
  <si>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</si>
  <si>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</si>
  <si>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</si>
  <si>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</si>
  <si>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</si>
  <si>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</si>
  <si>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</si>
  <si>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</si>
  <si>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</si>
  <si>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</si>
  <si>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</si>
  <si>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</si>
  <si>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</si>
  <si>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</si>
  <si>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</si>
  <si>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</si>
  <si>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</si>
  <si>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</si>
  <si>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</si>
  <si>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</si>
  <si>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</si>
  <si>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</si>
  <si>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</si>
  <si>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</si>
  <si>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</si>
  <si>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</si>
  <si>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</si>
  <si>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</si>
  <si>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</si>
  <si>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</si>
  <si>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</si>
  <si>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</si>
  <si>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</si>
  <si>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</si>
  <si>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</si>
  <si>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</si>
  <si>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</si>
  <si>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</si>
  <si>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</si>
  <si>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</si>
  <si>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</si>
  <si>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</si>
  <si>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</si>
  <si>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</si>
  <si>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</si>
  <si>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</si>
  <si>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</si>
  <si>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</si>
  <si>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</si>
  <si>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</si>
  <si>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</si>
  <si>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</si>
  <si>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</si>
  <si>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</si>
  <si>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</si>
  <si>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</si>
  <si>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</si>
  <si>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</si>
  <si>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</si>
  <si>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</si>
  <si>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</si>
  <si>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</si>
  <si>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</si>
  <si>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</si>
  <si>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</si>
  <si>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</si>
  <si>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</si>
  <si>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</si>
  <si>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</si>
  <si>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</si>
  <si>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</si>
  <si>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</si>
  <si>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</si>
  <si>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</si>
  <si>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</si>
  <si>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</si>
  <si>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</si>
  <si>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</si>
  <si>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</si>
  <si>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</si>
  <si>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</si>
  <si>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</si>
  <si>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</si>
  <si>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</si>
  <si>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</si>
  <si>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</si>
  <si>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</si>
  <si>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</si>
  <si>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</si>
  <si>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</si>
  <si>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</si>
  <si>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</si>
  <si>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</si>
  <si>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</si>
  <si>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</si>
  <si>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</si>
  <si>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</si>
  <si>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</si>
  <si>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</si>
  <si>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</si>
  <si>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</si>
  <si>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</si>
  <si>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</si>
  <si>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</si>
  <si>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</si>
  <si>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</si>
  <si>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</si>
  <si>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</si>
  <si>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</si>
  <si>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</si>
  <si>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</si>
  <si>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</si>
  <si>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</si>
  <si>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</si>
  <si>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</si>
  <si>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</si>
  <si>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</si>
  <si>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</si>
  <si>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</si>
  <si>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</si>
  <si>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</si>
  <si>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</si>
  <si>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</si>
  <si>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</si>
  <si>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</si>
  <si>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</si>
  <si>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</si>
  <si>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</si>
  <si>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</si>
  <si>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</si>
  <si>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</si>
  <si>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</si>
  <si>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</si>
  <si>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</si>
  <si>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</si>
  <si>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</si>
  <si>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</si>
  <si>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</si>
  <si>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</si>
  <si>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</si>
  <si>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</si>
  <si>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</si>
  <si>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</si>
  <si>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</si>
  <si>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</si>
  <si>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</si>
  <si>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</si>
  <si>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</si>
  <si>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</si>
  <si>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</si>
  <si>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</si>
  <si>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</si>
  <si>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</si>
  <si>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</si>
  <si>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</si>
  <si>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</si>
  <si>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</si>
  <si>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</si>
  <si>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</si>
  <si>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</si>
  <si>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</si>
  <si>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</si>
  <si>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</si>
  <si>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</si>
  <si>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</si>
  <si>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</si>
  <si>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</si>
  <si>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</si>
  <si>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</si>
  <si>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</si>
  <si>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</si>
  <si>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</si>
  <si>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</si>
  <si>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</si>
  <si>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</si>
  <si>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</si>
  <si>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</si>
  <si>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</si>
  <si>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</si>
  <si>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</si>
  <si>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</si>
  <si>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</si>
  <si>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</si>
  <si>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</si>
  <si>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</si>
  <si>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</si>
  <si>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</si>
  <si>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</si>
  <si>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</si>
  <si>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</si>
  <si>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</si>
  <si>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</si>
  <si>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</si>
  <si>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</si>
  <si>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</si>
  <si>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</si>
  <si>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</si>
  <si>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</si>
  <si>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</si>
  <si>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</si>
  <si>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</si>
  <si>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</si>
  <si>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</si>
  <si>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</si>
  <si>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</si>
  <si>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</si>
  <si>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</si>
  <si>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</si>
  <si>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</si>
  <si>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</si>
  <si>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</si>
  <si>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</si>
  <si>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</si>
  <si>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0669.HK</t>
  </si>
  <si>
    <t>C0007</t>
  </si>
  <si>
    <t>USD</t>
  </si>
  <si>
    <t xml:space="preserve">Superior Cycl. </t>
  </si>
  <si>
    <t>創科實業</t>
    <phoneticPr fontId="20" type="noConversion"/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</si>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</sst>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SimSun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0</c:v>
                </c:pt>
                <c:pt idx="6">
                  <c:v>7.2375155036871239E-2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0" sqref="D1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4.25" x14ac:dyDescent="0.4">
      <c r="B5" s="141" t="s">
        <v>195</v>
      </c>
      <c r="C5" s="270" t="s">
        <v>265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264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587107850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13731411</v>
      </c>
      <c r="D25" s="150">
        <v>13253917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8311775</v>
      </c>
      <c r="D26" s="151">
        <v>8041340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2347219+1406210</f>
        <v>3753429</v>
      </c>
      <c r="D27" s="151">
        <f>2191001+1349840</f>
        <v>3540841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548338</v>
      </c>
      <c r="D28" s="151">
        <v>484343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124056</v>
      </c>
      <c r="D29" s="151">
        <v>69868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0.1261+0.1223</f>
        <v>0.24840000000000001</v>
      </c>
      <c r="D44" s="251">
        <f>0.1158+0.1223</f>
        <v>0.23810000000000001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1.7017397041052162E-2</v>
      </c>
      <c r="D45" s="153">
        <f>IF(D44="","",D44*Exchange_Rate/Dashboard!$G$3)</f>
        <v>1.6311764232989211E-2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13731411</v>
      </c>
      <c r="D91" s="210"/>
      <c r="E91" s="252">
        <f>C91</f>
        <v>13731411</v>
      </c>
      <c r="F91" s="252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60">
        <f>C92/C91</f>
        <v>0.60531106380837341</v>
      </c>
      <c r="E92" s="253">
        <f>E91*D92</f>
        <v>8311775.0000000009</v>
      </c>
      <c r="F92" s="253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60">
        <f>C93/C91</f>
        <v>0.31327931266495485</v>
      </c>
      <c r="E93" s="253">
        <f>E91*D93</f>
        <v>4301767</v>
      </c>
      <c r="F93" s="253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60">
        <f>C94/C91</f>
        <v>9.0344684898005026E-3</v>
      </c>
      <c r="E94" s="254"/>
      <c r="F94" s="253">
        <f>F91*D94</f>
        <v>124056.00000000001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0.24840000000000001</v>
      </c>
      <c r="D98" s="267"/>
      <c r="E98" s="255">
        <f>F98</f>
        <v>0.24840000000000001</v>
      </c>
      <c r="F98" s="255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0669.HK</v>
      </c>
      <c r="D3" s="278"/>
      <c r="E3" s="87"/>
      <c r="F3" s="3" t="s">
        <v>1</v>
      </c>
      <c r="G3" s="132">
        <v>113.6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創科實業</v>
      </c>
      <c r="D4" s="280"/>
      <c r="E4" s="87"/>
      <c r="F4" s="3" t="s">
        <v>2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66695.451759999996</v>
      </c>
      <c r="H5" s="275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5</v>
      </c>
      <c r="G7" s="133">
        <v>7.7825133005777998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0.60531106380837341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9.0344684898005026E-3</v>
      </c>
      <c r="F24" s="140" t="s">
        <v>260</v>
      </c>
      <c r="G24" s="269">
        <f>G3/(Fin_Analysis!H86*G7)</f>
        <v>11.497685105939386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0.19566067250076241</v>
      </c>
    </row>
    <row r="26" spans="1:8" ht="15.75" customHeight="1" x14ac:dyDescent="0.4">
      <c r="B26" s="138" t="s">
        <v>173</v>
      </c>
      <c r="C26" s="172">
        <f>Fin_Analysis!I83</f>
        <v>7.2375155036871239E-2</v>
      </c>
      <c r="F26" s="141" t="s">
        <v>193</v>
      </c>
      <c r="G26" s="179">
        <f>Fin_Analysis!H88*Exchange_Rate/G3</f>
        <v>1.7017397041052162E-2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95.995206718954776</v>
      </c>
      <c r="D29" s="129">
        <f>G29*(1+G20)</f>
        <v>189.77178435401959</v>
      </c>
      <c r="E29" s="87"/>
      <c r="F29" s="131">
        <f>IF(Fin_Analysis!C108="Profit",Fin_Analysis!F100,IF(Fin_Analysis!C108="Dividend",Fin_Analysis!F103,Fin_Analysis!F106))</f>
        <v>112.93553731641738</v>
      </c>
      <c r="G29" s="274">
        <f>IF(Fin_Analysis!C108="Profit",Fin_Analysis!I100,IF(Fin_Analysis!C108="Dividend",Fin_Analysis!I103,Fin_Analysis!I106))</f>
        <v>165.01894291653878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7" zoomScaleNormal="100" workbookViewId="0">
      <pane xSplit="2" topLeftCell="C1" activePane="topRight" state="frozen"/>
      <selection activeCell="A4" sqref="A4"/>
      <selection pane="topRight" activeCell="D47" sqref="D42:D47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13731411</v>
      </c>
      <c r="D6" s="201">
        <f>IF(Inputs!D25="","",Inputs!D25)</f>
        <v>13253917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8311775</v>
      </c>
      <c r="D8" s="200">
        <f>IF(Inputs!D26="","",Inputs!D26)</f>
        <v>8041340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5419636</v>
      </c>
      <c r="D9" s="152">
        <f t="shared" si="2"/>
        <v>5212577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3753429</v>
      </c>
      <c r="D10" s="200">
        <f>IF(Inputs!D27="","",Inputs!D27)</f>
        <v>3540841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548338</v>
      </c>
      <c r="D11" s="200">
        <f>IF(Inputs!D28="","",Inputs!D28)</f>
        <v>484343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8.1409623526671804E-2</v>
      </c>
      <c r="D13" s="230">
        <f t="shared" si="3"/>
        <v>8.9588081772354541E-2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1117869</v>
      </c>
      <c r="D14" s="231">
        <f t="shared" ref="D14:M14" si="4">IF(D6="","",D9-D10-MAX(D11,0)-MAX(D12,0))</f>
        <v>1187393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-5.8551802141329788E-2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124056</v>
      </c>
      <c r="D17" s="200">
        <f>IF(Inputs!D29="","",Inputs!D29)</f>
        <v>69868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993813</v>
      </c>
      <c r="D22" s="162">
        <f t="shared" ref="D22:M22" si="8">IF(D6="","",D14-MAX(D16,0)-MAX(D17,0)-ABS(MAX(D21,0)-MAX(D19,0)))</f>
        <v>1117525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5.4281366277653474E-2</v>
      </c>
      <c r="D23" s="154">
        <f t="shared" si="9"/>
        <v>6.3237437657109222E-2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745359.75</v>
      </c>
      <c r="D24" s="77">
        <f>IF(D6="","",D22*(1-Fin_Analysis!$I$84))</f>
        <v>838143.75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-0.11070177400952999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0.60531106380837341</v>
      </c>
      <c r="D42" s="157">
        <f t="shared" si="34"/>
        <v>0.60671422644339779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0.31327931266495485</v>
      </c>
      <c r="D43" s="154">
        <f t="shared" si="35"/>
        <v>0.3036976917842476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9.0344684898005026E-3</v>
      </c>
      <c r="D45" s="154">
        <f t="shared" si="37"/>
        <v>5.2714982295422553E-3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7.2375155036871308E-2</v>
      </c>
      <c r="D48" s="154">
        <f t="shared" si="40"/>
        <v>8.4316583542812282E-2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0.12482831277111489</v>
      </c>
      <c r="D55" s="154">
        <f t="shared" si="45"/>
        <v>6.2520301559249231E-2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10"/>
      <c r="E74" s="239">
        <f>Inputs!E91</f>
        <v>13731411</v>
      </c>
      <c r="F74" s="210"/>
      <c r="H74" s="239">
        <f>Inputs!F91</f>
        <v>13731411</v>
      </c>
      <c r="I74" s="210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60">
        <f>C75/$C$74</f>
        <v>0.60531106380837341</v>
      </c>
      <c r="E75" s="239">
        <f>Inputs!E92</f>
        <v>8311775.0000000009</v>
      </c>
      <c r="F75" s="161">
        <f>E75/E74</f>
        <v>0.60531106380837341</v>
      </c>
      <c r="H75" s="239">
        <f>Inputs!F92</f>
        <v>8311775.0000000009</v>
      </c>
      <c r="I75" s="161">
        <f>H75/$H$74</f>
        <v>0.60531106380837341</v>
      </c>
      <c r="K75" s="24"/>
    </row>
    <row r="76" spans="1:11" ht="15" customHeight="1" x14ac:dyDescent="0.4">
      <c r="B76" s="35" t="s">
        <v>95</v>
      </c>
      <c r="C76" s="162">
        <f>C74-C75</f>
        <v>5419636</v>
      </c>
      <c r="D76" s="211"/>
      <c r="E76" s="163">
        <f>E74-E75</f>
        <v>5419635.9999999991</v>
      </c>
      <c r="F76" s="211"/>
      <c r="H76" s="163">
        <f>H74-H75</f>
        <v>5419635.9999999991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60">
        <f>C77/$C$74</f>
        <v>0.31327931266495485</v>
      </c>
      <c r="E77" s="239">
        <f>Inputs!E93</f>
        <v>4301767</v>
      </c>
      <c r="F77" s="161">
        <f>E77/E74</f>
        <v>0.31327931266495485</v>
      </c>
      <c r="H77" s="239">
        <f>Inputs!F93</f>
        <v>4301767</v>
      </c>
      <c r="I77" s="161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1117869</v>
      </c>
      <c r="D79" s="259">
        <f>C79/C74</f>
        <v>8.1409623526671804E-2</v>
      </c>
      <c r="E79" s="260">
        <f>E76-E77-E78</f>
        <v>1117868.9999999991</v>
      </c>
      <c r="F79" s="259">
        <f>E79/E74</f>
        <v>8.1409623526671734E-2</v>
      </c>
      <c r="G79" s="261"/>
      <c r="H79" s="260">
        <f>H76-H77-H78</f>
        <v>1117868.9999999991</v>
      </c>
      <c r="I79" s="259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60">
        <f>C81/$C$74</f>
        <v>9.0344684898005026E-3</v>
      </c>
      <c r="E81" s="181">
        <f>E74*F81</f>
        <v>124056.00000000001</v>
      </c>
      <c r="F81" s="161">
        <f>I81</f>
        <v>9.0344684898005026E-3</v>
      </c>
      <c r="H81" s="239">
        <f>Inputs!F94</f>
        <v>124056.00000000001</v>
      </c>
      <c r="I81" s="161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993813</v>
      </c>
      <c r="D83" s="165">
        <f>C83/$C$74</f>
        <v>7.2375155036871308E-2</v>
      </c>
      <c r="E83" s="166">
        <f>E79-E81-E82-E80</f>
        <v>993812.99999999907</v>
      </c>
      <c r="F83" s="165">
        <f>E83/E74</f>
        <v>7.2375155036871239E-2</v>
      </c>
      <c r="H83" s="166">
        <f>H79-H81-H82-H80</f>
        <v>993812.99999999907</v>
      </c>
      <c r="I83" s="165">
        <f>H83/$H$74</f>
        <v>7.2375155036871239E-2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745359.75</v>
      </c>
      <c r="D85" s="259">
        <f>C85/$C$74</f>
        <v>5.4281366277653474E-2</v>
      </c>
      <c r="E85" s="265">
        <f>E83*(1-F84)</f>
        <v>745359.7499999993</v>
      </c>
      <c r="F85" s="259">
        <f>E85/E74</f>
        <v>5.4281366277653426E-2</v>
      </c>
      <c r="G85" s="261"/>
      <c r="H85" s="265">
        <f>H83*(1-I84)</f>
        <v>745359.7499999993</v>
      </c>
      <c r="I85" s="259">
        <f>H85/$H$74</f>
        <v>5.4281366277653426E-2</v>
      </c>
      <c r="K85" s="24"/>
    </row>
    <row r="86" spans="1:11" ht="15" customHeight="1" x14ac:dyDescent="0.4">
      <c r="B86" s="87" t="s">
        <v>160</v>
      </c>
      <c r="C86" s="168">
        <f>C85*Data!C4/Common_Shares</f>
        <v>1.2695448544930885</v>
      </c>
      <c r="D86" s="210"/>
      <c r="E86" s="169">
        <f>E85*Data!C4/Common_Shares</f>
        <v>1.2695448544930872</v>
      </c>
      <c r="F86" s="210"/>
      <c r="H86" s="169">
        <f>H85*Data!C4/Common_Shares</f>
        <v>1.2695448544930872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8.6974029188138818E-2</v>
      </c>
      <c r="D87" s="210"/>
      <c r="E87" s="263">
        <f>E86*Exchange_Rate/Dashboard!G3</f>
        <v>8.6974029188138721E-2</v>
      </c>
      <c r="F87" s="210"/>
      <c r="H87" s="263">
        <f>H86*Exchange_Rate/Dashboard!G3</f>
        <v>8.6974029188138721E-2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0.24840000000000001</v>
      </c>
      <c r="D88" s="167">
        <f>C88/C86</f>
        <v>0.19566067250076222</v>
      </c>
      <c r="E88" s="171">
        <f>Inputs!E98</f>
        <v>0.24840000000000001</v>
      </c>
      <c r="F88" s="167">
        <f>E88/E86</f>
        <v>0.19566067250076241</v>
      </c>
      <c r="H88" s="171">
        <f>Inputs!F98</f>
        <v>0.24840000000000001</v>
      </c>
      <c r="I88" s="167">
        <f>H88/H86</f>
        <v>0.19566067250076241</v>
      </c>
      <c r="K88" s="24"/>
    </row>
    <row r="89" spans="1:11" ht="15" customHeight="1" x14ac:dyDescent="0.4">
      <c r="B89" s="87" t="s">
        <v>221</v>
      </c>
      <c r="C89" s="262">
        <f>C88*Exchange_Rate/Dashboard!G3</f>
        <v>1.7017397041052162E-2</v>
      </c>
      <c r="D89" s="210"/>
      <c r="E89" s="262">
        <f>E88*Exchange_Rate/Dashboard!G3</f>
        <v>1.7017397041052162E-2</v>
      </c>
      <c r="F89" s="210"/>
      <c r="H89" s="262">
        <f>H88*Exchange_Rate/Dashboard!G3</f>
        <v>1.7017397041052162E-2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227.1537047055505</v>
      </c>
      <c r="H93" s="87" t="s">
        <v>209</v>
      </c>
      <c r="I93" s="144">
        <f>FV(H87,D93,0,-(H86/C93))*Exchange_Rate</f>
        <v>227.1537047055505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31.869073480807138</v>
      </c>
      <c r="H94" s="87" t="s">
        <v>210</v>
      </c>
      <c r="I94" s="144">
        <f>FV(H89,D93,0,-(H88/C93))*Exchange_Rate</f>
        <v>31.869073480807138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66305340.502436578</v>
      </c>
      <c r="D97" s="214"/>
      <c r="E97" s="123">
        <f>PV(C94,D93,0,-F93)</f>
        <v>112.93553731641738</v>
      </c>
      <c r="F97" s="214"/>
      <c r="H97" s="123">
        <f>PV(C94,D93,0,-I93)</f>
        <v>112.93553731641738</v>
      </c>
      <c r="I97" s="123">
        <f>PV(C93,D93,0,-I93)</f>
        <v>165.01894291653878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66305340.502436578</v>
      </c>
      <c r="D100" s="109">
        <f>MIN(F100*(1-C94),E100)</f>
        <v>95.995206718954776</v>
      </c>
      <c r="E100" s="109">
        <f>MAX(E97-H98+E99,0)</f>
        <v>112.93553731641738</v>
      </c>
      <c r="F100" s="109">
        <f>(E100+H100)/2</f>
        <v>112.93553731641738</v>
      </c>
      <c r="H100" s="109">
        <f>MAX(C100*Data!$C$4/Common_Shares,0)</f>
        <v>112.93553731641738</v>
      </c>
      <c r="I100" s="109">
        <f>MAX(I97-H98+H99,0)</f>
        <v>165.01894291653878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9302466.6772712152</v>
      </c>
      <c r="D103" s="109">
        <f>MIN(F103*(1-C94),E103)</f>
        <v>13.46787762364365</v>
      </c>
      <c r="E103" s="123">
        <f>PV(C94,D93,0,-F94)</f>
        <v>15.844561910169</v>
      </c>
      <c r="F103" s="109">
        <f>(E103+H103)/2</f>
        <v>15.844561910169</v>
      </c>
      <c r="H103" s="123">
        <f>PV(C94,D93,0,-I94)</f>
        <v>15.844561910169</v>
      </c>
      <c r="I103" s="109">
        <f>PV(C93,D93,0,-I94)</f>
        <v>23.151728140860865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37803903.589853898</v>
      </c>
      <c r="D106" s="109">
        <f>(D100+D103)/2</f>
        <v>54.731542171299211</v>
      </c>
      <c r="E106" s="123">
        <f>(E100+E103)/2</f>
        <v>64.390049613293186</v>
      </c>
      <c r="F106" s="109">
        <f>(F100+F103)/2</f>
        <v>64.390049613293186</v>
      </c>
      <c r="H106" s="123">
        <f>(H100+H103)/2</f>
        <v>64.390049613293186</v>
      </c>
      <c r="I106" s="123">
        <f>(I100+I103)/2</f>
        <v>94.085335528699815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