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4738E1B-541C-406D-9B27-4D0199FEA19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F97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<sst xmlns="http://schemas.openxmlformats.org/spreadsheetml/2006/main" count="390" uniqueCount="268">
  <si>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</si>
  <si>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</si>
  <si>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</si>
  <si>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</si>
  <si>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</si>
  <si>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</si>
  <si>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</si>
  <si>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</si>
  <si>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</si>
  <si>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</si>
  <si>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</si>
  <si>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</si>
  <si>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</si>
  <si>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</si>
  <si>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</si>
  <si>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</si>
  <si>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</si>
  <si>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</si>
  <si>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</si>
  <si>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</si>
  <si>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</si>
  <si>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</si>
  <si>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</si>
  <si>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</si>
  <si>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</si>
  <si>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</si>
  <si>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</si>
  <si>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</si>
  <si>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</si>
  <si>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</si>
  <si>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</si>
  <si>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</si>
  <si>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</si>
  <si>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</si>
  <si>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</si>
  <si>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</si>
  <si>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</si>
  <si>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</si>
  <si>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</si>
  <si>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</si>
  <si>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</si>
  <si>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</si>
  <si>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</si>
  <si>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</si>
  <si>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</si>
  <si>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</si>
  <si>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</si>
  <si>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</si>
  <si>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</si>
  <si>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</si>
  <si>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</si>
  <si>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</si>
  <si>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</si>
  <si>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</si>
  <si>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</si>
  <si>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</si>
  <si>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</si>
  <si>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</si>
  <si>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</si>
  <si>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</si>
  <si>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</si>
  <si>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</si>
  <si>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</si>
  <si>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</si>
  <si>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</si>
  <si>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</si>
  <si>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</si>
  <si>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</si>
  <si>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</si>
  <si>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</si>
  <si>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</si>
  <si>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</si>
  <si>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</si>
  <si>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</si>
  <si>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</si>
  <si>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</si>
  <si>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</si>
  <si>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</si>
  <si>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</si>
  <si>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</si>
  <si>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</si>
  <si>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</si>
  <si>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</si>
  <si>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</si>
  <si>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</si>
  <si>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</si>
  <si>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</si>
  <si>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</si>
  <si>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</si>
  <si>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</si>
  <si>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</si>
  <si>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</si>
  <si>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</si>
  <si>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</si>
  <si>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</si>
  <si>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</si>
  <si>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</si>
  <si>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</si>
  <si>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</si>
  <si>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</si>
  <si>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</si>
  <si>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</si>
  <si>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</si>
  <si>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</si>
  <si>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</si>
  <si>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</si>
  <si>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</si>
  <si>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</si>
  <si>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</si>
  <si>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</si>
  <si>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</si>
  <si>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</si>
  <si>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</si>
  <si>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</si>
  <si>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</si>
  <si>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</si>
  <si>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</si>
  <si>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</si>
  <si>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</si>
  <si>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</si>
  <si>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</si>
  <si>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</si>
  <si>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</si>
  <si>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</si>
  <si>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</si>
  <si>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</si>
  <si>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</si>
  <si>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</si>
  <si>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</si>
  <si>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</si>
  <si>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</si>
  <si>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</si>
  <si>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</si>
  <si>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</si>
  <si>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</si>
  <si>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</si>
  <si>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</si>
  <si>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</si>
  <si>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</si>
  <si>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</si>
  <si>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</si>
  <si>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</si>
  <si>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</si>
  <si>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</si>
  <si>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</si>
  <si>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</si>
  <si>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</si>
  <si>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</si>
  <si>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</si>
  <si>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</si>
  <si>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</si>
  <si>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</si>
  <si>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</si>
  <si>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</si>
  <si>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</si>
  <si>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</si>
  <si>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</si>
  <si>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</si>
  <si>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</si>
  <si>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</si>
  <si>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</si>
  <si>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</si>
  <si>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</si>
  <si>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</si>
  <si>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</si>
  <si>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</si>
  <si>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</si>
  <si>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</si>
  <si>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</si>
  <si>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</si>
  <si>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</si>
  <si>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</si>
  <si>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</si>
  <si>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</si>
  <si>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</si>
  <si>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</si>
  <si>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</si>
  <si>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</si>
  <si>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</si>
  <si>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</si>
  <si>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</si>
  <si>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</si>
  <si>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</si>
  <si>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</si>
  <si>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</si>
  <si>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</si>
  <si>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</si>
  <si>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</si>
  <si>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</si>
  <si>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</si>
  <si>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</si>
  <si>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</si>
  <si>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</si>
  <si>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</si>
  <si>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</si>
  <si>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</si>
  <si>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</si>
  <si>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</si>
  <si>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</si>
  <si>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</si>
  <si>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</si>
  <si>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</si>
  <si>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</si>
  <si>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</si>
  <si>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</si>
  <si>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</si>
  <si>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</si>
  <si>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</si>
  <si>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</si>
  <si>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</si>
  <si>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</si>
  <si>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</si>
  <si>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</si>
  <si>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</si>
  <si>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</si>
  <si>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</si>
  <si>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</si>
  <si>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</si>
  <si>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</si>
  <si>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</si>
  <si>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</si>
  <si>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</si>
  <si>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</si>
  <si>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</si>
  <si>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</si>
  <si>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</si>
  <si>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</si>
  <si>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</si>
  <si>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</si>
  <si>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</si>
  <si>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</si>
  <si>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</si>
  <si>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</si>
  <si>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</si>
  <si>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</si>
  <si>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</si>
  <si>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</si>
  <si>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</si>
  <si>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</si>
  <si>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</si>
  <si>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</si>
  <si>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</si>
  <si>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</si>
  <si>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</si>
  <si>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</si>
  <si>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</si>
  <si>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</si>
  <si>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</si>
  <si>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</si>
  <si>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</si>
  <si>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</si>
  <si>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</si>
  <si>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</si>
  <si>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</si>
  <si>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</si>
  <si>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</si>
  <si>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</si>
  <si>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</si>
  <si>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1288.HK</t>
  </si>
  <si>
    <t>农业银行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</si>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</sst>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0.11401933240696355</c:v>
                </c:pt>
                <c:pt idx="1">
                  <c:v>0.19137095648691452</c:v>
                </c:pt>
                <c:pt idx="2">
                  <c:v>4.6925281602255647E-4</c:v>
                </c:pt>
                <c:pt idx="3">
                  <c:v>0</c:v>
                </c:pt>
                <c:pt idx="4">
                  <c:v>0.49449639261897682</c:v>
                </c:pt>
                <c:pt idx="5">
                  <c:v>0</c:v>
                </c:pt>
                <c:pt idx="6">
                  <c:v>0.19964406567112258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45593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349983033873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262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264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1318408</v>
      </c>
      <c r="D25" s="150">
        <v>1203982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150324</v>
      </c>
      <c r="D26" s="151">
        <v>159502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252305</v>
      </c>
      <c r="D27" s="151">
        <v>243571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>
        <v>651948</v>
      </c>
      <c r="D29" s="151">
        <v>518581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464</v>
      </c>
      <c r="D30" s="151">
        <v>-366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0.2309+0.1164</f>
        <v>0.3473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9.1964613069722687E-2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1318408</v>
      </c>
      <c r="D91" s="210"/>
      <c r="E91" s="252">
        <f>C91</f>
        <v>1318408</v>
      </c>
      <c r="F91" s="252">
        <f>C91</f>
        <v>1318408</v>
      </c>
    </row>
    <row r="92" spans="2:8" ht="13.9" x14ac:dyDescent="0.4">
      <c r="B92" s="104" t="s">
        <v>105</v>
      </c>
      <c r="C92" s="77">
        <f>C26</f>
        <v>150324</v>
      </c>
      <c r="D92" s="160">
        <f>C92/C91</f>
        <v>0.11401933240696355</v>
      </c>
      <c r="E92" s="253">
        <f>E91*D92</f>
        <v>150324</v>
      </c>
      <c r="F92" s="253">
        <f>F91*D92</f>
        <v>150324</v>
      </c>
    </row>
    <row r="93" spans="2:8" ht="13.9" x14ac:dyDescent="0.4">
      <c r="B93" s="104" t="s">
        <v>246</v>
      </c>
      <c r="C93" s="77">
        <f>C27+C28</f>
        <v>252305</v>
      </c>
      <c r="D93" s="160">
        <f>C93/C91</f>
        <v>0.19137095648691452</v>
      </c>
      <c r="E93" s="253">
        <f>E91*D93</f>
        <v>252305</v>
      </c>
      <c r="F93" s="253">
        <f>F91*D93</f>
        <v>252305</v>
      </c>
    </row>
    <row r="94" spans="2:8" ht="13.9" x14ac:dyDescent="0.4">
      <c r="B94" s="104" t="s">
        <v>255</v>
      </c>
      <c r="C94" s="77">
        <f>C29</f>
        <v>651948</v>
      </c>
      <c r="D94" s="160">
        <f>C94/C91</f>
        <v>0.49449639261897682</v>
      </c>
      <c r="E94" s="254"/>
      <c r="F94" s="253">
        <f>F91*D94</f>
        <v>651948</v>
      </c>
    </row>
    <row r="95" spans="2:8" ht="13.9" x14ac:dyDescent="0.4">
      <c r="B95" s="28" t="s">
        <v>245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618.66666666666663</v>
      </c>
      <c r="D97" s="160">
        <f>C97/C91</f>
        <v>4.6925281602255647E-4</v>
      </c>
      <c r="E97" s="254"/>
      <c r="F97" s="253">
        <f>F91*D97</f>
        <v>618.66666666666663</v>
      </c>
    </row>
    <row r="98" spans="2:7" ht="13.9" x14ac:dyDescent="0.4">
      <c r="B98" s="86" t="s">
        <v>207</v>
      </c>
      <c r="C98" s="238">
        <f>C44</f>
        <v>0.3473</v>
      </c>
      <c r="D98" s="267"/>
      <c r="E98" s="255">
        <f>F98</f>
        <v>0.23089999999999999</v>
      </c>
      <c r="F98" s="255">
        <v>0.23089999999999999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1288.HK : 农业银行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1288.HK</v>
      </c>
      <c r="D3" s="277"/>
      <c r="E3" s="87"/>
      <c r="F3" s="3" t="s">
        <v>1</v>
      </c>
      <c r="G3" s="132">
        <v>4.05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农业银行</v>
      </c>
      <c r="D4" s="279"/>
      <c r="E4" s="87"/>
      <c r="F4" s="3" t="s">
        <v>2</v>
      </c>
      <c r="G4" s="282">
        <f>Inputs!C10</f>
        <v>349983033873</v>
      </c>
      <c r="H4" s="282"/>
      <c r="I4" s="39"/>
    </row>
    <row r="5" spans="1:10" ht="15.75" customHeight="1" x14ac:dyDescent="0.4">
      <c r="B5" s="3" t="s">
        <v>163</v>
      </c>
      <c r="C5" s="280">
        <f>Inputs!C6</f>
        <v>45593</v>
      </c>
      <c r="D5" s="281"/>
      <c r="E5" s="34"/>
      <c r="F5" s="35" t="s">
        <v>99</v>
      </c>
      <c r="G5" s="274">
        <f>G3*G4/1000000</f>
        <v>1417431.2871856499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C0014</v>
      </c>
      <c r="E7" s="87"/>
      <c r="F7" s="35" t="s">
        <v>5</v>
      </c>
      <c r="G7" s="133">
        <v>1.0724350214004517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0.11401933240696355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0.19137095648691452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4.6925281602255647E-4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0.49449639261897682</v>
      </c>
      <c r="F24" s="140" t="s">
        <v>257</v>
      </c>
      <c r="G24" s="269">
        <f>G3/(Fin_Analysis!H86*G7)</f>
        <v>6.6951995922176932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0.40935813555482176</v>
      </c>
    </row>
    <row r="26" spans="1:8" ht="15.75" customHeight="1" x14ac:dyDescent="0.4">
      <c r="B26" s="138" t="s">
        <v>173</v>
      </c>
      <c r="C26" s="172">
        <f>Fin_Analysis!I83</f>
        <v>0.19964406567112258</v>
      </c>
      <c r="F26" s="141" t="s">
        <v>193</v>
      </c>
      <c r="G26" s="179">
        <f>Fin_Analysis!H88*Exchange_Rate/G3</f>
        <v>6.114203615836155E-2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1.955508659778546</v>
      </c>
      <c r="D29" s="129">
        <f>G29*(1+G20)</f>
        <v>3.7588408080253224</v>
      </c>
      <c r="E29" s="87"/>
      <c r="F29" s="131">
        <f>IF(Fin_Analysis!C108="Profit",Fin_Analysis!F100,IF(Fin_Analysis!C108="Dividend",Fin_Analysis!F103,Fin_Analysis!F106))</f>
        <v>2.3005984232688776</v>
      </c>
      <c r="G29" s="273">
        <f>IF(Fin_Analysis!C108="Profit",Fin_Analysis!I100,IF(Fin_Analysis!C108="Dividend",Fin_Analysis!I103,Fin_Analysis!I106))</f>
        <v>3.2685572243698457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915160.33333333337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1318408</v>
      </c>
      <c r="D6" s="201">
        <f>IF(Inputs!D25="","",Inputs!D25)</f>
        <v>1203982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9.5039626838274938E-2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150324</v>
      </c>
      <c r="D8" s="200">
        <f>IF(Inputs!D26="","",Inputs!D26)</f>
        <v>159502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1168084</v>
      </c>
      <c r="D9" s="152">
        <f t="shared" si="2"/>
        <v>1044480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252305</v>
      </c>
      <c r="D10" s="200">
        <f>IF(Inputs!D27="","",Inputs!D27)</f>
        <v>243571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618.66666666666663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0.6941404582900994</v>
      </c>
      <c r="D13" s="230">
        <f t="shared" si="3"/>
        <v>0.6652167557322286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915160.33333333337</v>
      </c>
      <c r="D14" s="231">
        <f t="shared" ref="D14:M14" si="4">IF(D6="","",D9-D10-MAX(D11,0)-MAX(D12,0))</f>
        <v>800909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0.14265207824276338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>
        <f>IF(Inputs!C29="","",Inputs!C29)</f>
        <v>651948</v>
      </c>
      <c r="D17" s="200">
        <f>IF(Inputs!D29="","",Inputs!D29)</f>
        <v>518581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263212.33333333337</v>
      </c>
      <c r="D22" s="162">
        <f t="shared" ref="D22:M22" si="8">IF(D6="","",D14-MAX(D16,0)-MAX(D17,0)-ABS(MAX(D21,0)-MAX(D19,0)))</f>
        <v>282328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0.14973304925334194</v>
      </c>
      <c r="D23" s="154">
        <f t="shared" si="9"/>
        <v>0.17587140007076518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197409.25000000003</v>
      </c>
      <c r="D24" s="77">
        <f>IF(D6="","",D22*(1-Fin_Analysis!$I$84))</f>
        <v>211746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-6.7707300255966912E-2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0.11401933240696355</v>
      </c>
      <c r="D42" s="157">
        <f t="shared" si="34"/>
        <v>0.13247872476498818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0.19137095648691452</v>
      </c>
      <c r="D43" s="154">
        <f t="shared" si="35"/>
        <v>0.20230451950278328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0.49449639261897682</v>
      </c>
      <c r="D45" s="154">
        <f t="shared" si="37"/>
        <v>0.43072155563787501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4.6925281602255647E-4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0.19964406567112258</v>
      </c>
      <c r="D48" s="154">
        <f t="shared" si="40"/>
        <v>0.23449520009435357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2.4768900140190997</v>
      </c>
      <c r="D55" s="154">
        <f t="shared" si="45"/>
        <v>1.8368032926241817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1318408</v>
      </c>
      <c r="D74" s="210"/>
      <c r="E74" s="239">
        <f>Inputs!E91</f>
        <v>1318408</v>
      </c>
      <c r="F74" s="210"/>
      <c r="H74" s="239">
        <f>Inputs!F91</f>
        <v>1318408</v>
      </c>
      <c r="I74" s="210"/>
      <c r="K74" s="24"/>
    </row>
    <row r="75" spans="1:11" ht="15" customHeight="1" x14ac:dyDescent="0.4">
      <c r="B75" s="104" t="s">
        <v>105</v>
      </c>
      <c r="C75" s="77">
        <f>Data!C8</f>
        <v>150324</v>
      </c>
      <c r="D75" s="160">
        <f>C75/$C$74</f>
        <v>0.11401933240696355</v>
      </c>
      <c r="E75" s="239">
        <f>Inputs!E92</f>
        <v>150324</v>
      </c>
      <c r="F75" s="161">
        <f>E75/E74</f>
        <v>0.11401933240696355</v>
      </c>
      <c r="H75" s="239">
        <f>Inputs!F92</f>
        <v>150324</v>
      </c>
      <c r="I75" s="161">
        <f>H75/$H$74</f>
        <v>0.11401933240696355</v>
      </c>
      <c r="K75" s="24"/>
    </row>
    <row r="76" spans="1:11" ht="15" customHeight="1" x14ac:dyDescent="0.4">
      <c r="B76" s="35" t="s">
        <v>95</v>
      </c>
      <c r="C76" s="162">
        <f>C74-C75</f>
        <v>1168084</v>
      </c>
      <c r="D76" s="211"/>
      <c r="E76" s="163">
        <f>E74-E75</f>
        <v>1168084</v>
      </c>
      <c r="F76" s="211"/>
      <c r="H76" s="163">
        <f>H74-H75</f>
        <v>1168084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252305</v>
      </c>
      <c r="D77" s="160">
        <f>C77/$C$74</f>
        <v>0.19137095648691452</v>
      </c>
      <c r="E77" s="239">
        <f>Inputs!E93</f>
        <v>252305</v>
      </c>
      <c r="F77" s="161">
        <f>E77/E74</f>
        <v>0.19137095648691452</v>
      </c>
      <c r="H77" s="239">
        <f>Inputs!F93</f>
        <v>252305</v>
      </c>
      <c r="I77" s="161">
        <f>H77/$H$74</f>
        <v>0.19137095648691452</v>
      </c>
      <c r="K77" s="24"/>
    </row>
    <row r="78" spans="1:11" ht="15" customHeight="1" x14ac:dyDescent="0.4">
      <c r="B78" s="73" t="s">
        <v>172</v>
      </c>
      <c r="C78" s="77">
        <f>MAX(Data!C12,0)</f>
        <v>618.66666666666663</v>
      </c>
      <c r="D78" s="160">
        <f>C78/$C$74</f>
        <v>4.6925281602255647E-4</v>
      </c>
      <c r="E78" s="181">
        <f>E74*F78</f>
        <v>618.66666666666663</v>
      </c>
      <c r="F78" s="161">
        <f>I78</f>
        <v>4.6925281602255647E-4</v>
      </c>
      <c r="H78" s="239">
        <f>Inputs!F97</f>
        <v>618.66666666666663</v>
      </c>
      <c r="I78" s="161">
        <f>H78/$H$74</f>
        <v>4.6925281602255647E-4</v>
      </c>
      <c r="K78" s="24"/>
    </row>
    <row r="79" spans="1:11" ht="15" customHeight="1" x14ac:dyDescent="0.4">
      <c r="B79" s="257" t="s">
        <v>232</v>
      </c>
      <c r="C79" s="258">
        <f>C76-C77-C78</f>
        <v>915160.33333333337</v>
      </c>
      <c r="D79" s="259">
        <f>C79/C74</f>
        <v>0.6941404582900994</v>
      </c>
      <c r="E79" s="260">
        <f>E76-E77-E78</f>
        <v>915160.33333333337</v>
      </c>
      <c r="F79" s="259">
        <f>E79/E74</f>
        <v>0.6941404582900994</v>
      </c>
      <c r="G79" s="261"/>
      <c r="H79" s="260">
        <f>H76-H77-H78</f>
        <v>915160.33333333337</v>
      </c>
      <c r="I79" s="259">
        <f>H79/H74</f>
        <v>0.6941404582900994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651948</v>
      </c>
      <c r="D81" s="160">
        <f>C81/$C$74</f>
        <v>0.49449639261897682</v>
      </c>
      <c r="E81" s="181">
        <f>E74*F81</f>
        <v>651948</v>
      </c>
      <c r="F81" s="161">
        <f>I81</f>
        <v>0.49449639261897682</v>
      </c>
      <c r="H81" s="239">
        <f>Inputs!F94</f>
        <v>651948</v>
      </c>
      <c r="I81" s="161">
        <f>H81/$H$74</f>
        <v>0.49449639261897682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263212.33333333337</v>
      </c>
      <c r="D83" s="165">
        <f>C83/$C$74</f>
        <v>0.19964406567112258</v>
      </c>
      <c r="E83" s="166">
        <f>E79-E81-E82-E80</f>
        <v>263212.33333333337</v>
      </c>
      <c r="F83" s="165">
        <f>E83/E74</f>
        <v>0.19964406567112258</v>
      </c>
      <c r="H83" s="166">
        <f>H79-H81-H82-H80</f>
        <v>263212.33333333337</v>
      </c>
      <c r="I83" s="165">
        <f>H83/$H$74</f>
        <v>0.19964406567112258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197409.25000000003</v>
      </c>
      <c r="D85" s="259">
        <f>C85/$C$74</f>
        <v>0.14973304925334194</v>
      </c>
      <c r="E85" s="265">
        <f>E83*(1-F84)</f>
        <v>197409.25000000003</v>
      </c>
      <c r="F85" s="259">
        <f>E85/E74</f>
        <v>0.14973304925334194</v>
      </c>
      <c r="G85" s="261"/>
      <c r="H85" s="265">
        <f>H83*(1-I84)</f>
        <v>197409.25000000003</v>
      </c>
      <c r="I85" s="259">
        <f>H85/$H$74</f>
        <v>0.14973304925334194</v>
      </c>
      <c r="K85" s="24"/>
    </row>
    <row r="86" spans="1:11" ht="15" customHeight="1" x14ac:dyDescent="0.4">
      <c r="B86" s="87" t="s">
        <v>160</v>
      </c>
      <c r="C86" s="168">
        <f>C85*Data!C4/Common_Shares</f>
        <v>0.5640537708797474</v>
      </c>
      <c r="D86" s="210"/>
      <c r="E86" s="169">
        <f>E85*Data!C4/Common_Shares</f>
        <v>0.5640537708797474</v>
      </c>
      <c r="F86" s="210"/>
      <c r="H86" s="169">
        <f>H85*Data!C4/Common_Shares</f>
        <v>0.5640537708797474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0.14936074514677219</v>
      </c>
      <c r="D87" s="210"/>
      <c r="E87" s="263">
        <f>E86*Exchange_Rate/Dashboard!G3</f>
        <v>0.14936074514677219</v>
      </c>
      <c r="F87" s="210"/>
      <c r="H87" s="263">
        <f>H86*Exchange_Rate/Dashboard!G3</f>
        <v>0.14936074514677219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0.3473</v>
      </c>
      <c r="D88" s="167">
        <f>C88/C86</f>
        <v>0.61572143992286532</v>
      </c>
      <c r="E88" s="171">
        <f>Inputs!E98</f>
        <v>0.23089999999999999</v>
      </c>
      <c r="F88" s="167">
        <f>E88/E86</f>
        <v>0.40935813555482176</v>
      </c>
      <c r="H88" s="171">
        <f>Inputs!F98</f>
        <v>0.23089999999999999</v>
      </c>
      <c r="I88" s="167">
        <f>H88/H86</f>
        <v>0.40935813555482176</v>
      </c>
      <c r="K88" s="24"/>
    </row>
    <row r="89" spans="1:11" ht="15" customHeight="1" x14ac:dyDescent="0.4">
      <c r="B89" s="87" t="s">
        <v>221</v>
      </c>
      <c r="C89" s="262">
        <f>C88*Exchange_Rate/Dashboard!G3</f>
        <v>9.1964613069722687E-2</v>
      </c>
      <c r="D89" s="210"/>
      <c r="E89" s="262">
        <f>E88*Exchange_Rate/Dashboard!G3</f>
        <v>6.114203615836155E-2</v>
      </c>
      <c r="F89" s="210"/>
      <c r="H89" s="262">
        <f>H88*Exchange_Rate/Dashboard!G3</f>
        <v>6.114203615836155E-2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16.851586731861467</v>
      </c>
      <c r="H93" s="87" t="s">
        <v>209</v>
      </c>
      <c r="I93" s="144">
        <f>FV(H87,D93,0,-(H86/C93))*Exchange_Rate</f>
        <v>16.851586731861467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4.6273251741930226</v>
      </c>
      <c r="H94" s="87" t="s">
        <v>210</v>
      </c>
      <c r="I94" s="144">
        <f>FV(H89,D93,0,-(H88/C93))*Exchange_Rate</f>
        <v>4.6273251741930226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2932233.7606884507</v>
      </c>
      <c r="D97" s="214"/>
      <c r="E97" s="123">
        <f>PV(C94,D93,0,-F93)</f>
        <v>8.3782168759428615</v>
      </c>
      <c r="F97" s="214"/>
      <c r="H97" s="123">
        <f>PV(C94,D93,0,-I93)</f>
        <v>8.3782168759428615</v>
      </c>
      <c r="I97" s="123">
        <f>PV(C93,D93,0,-I93)</f>
        <v>11.903286127741502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2932233.7606884507</v>
      </c>
      <c r="D100" s="109">
        <f>MIN(F100*(1-C94),E100)</f>
        <v>7.1214843445514324</v>
      </c>
      <c r="E100" s="109">
        <f>MAX(E97-H98+E99,0)</f>
        <v>8.3782168759428615</v>
      </c>
      <c r="F100" s="109">
        <f>(E100+H100)/2</f>
        <v>8.3782168759428615</v>
      </c>
      <c r="H100" s="109">
        <f>MAX(C100*Data!$C$4/Common_Shares,0)</f>
        <v>8.3782168759428615</v>
      </c>
      <c r="I100" s="109">
        <f>MAX(I97-H98+H99,0)</f>
        <v>11.903286127741502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805170.41589908209</v>
      </c>
      <c r="D103" s="109">
        <f>MIN(F103*(1-C94),E103)</f>
        <v>1.955508659778546</v>
      </c>
      <c r="E103" s="123">
        <f>PV(C94,D93,0,-F94)</f>
        <v>2.3005984232688776</v>
      </c>
      <c r="F103" s="109">
        <f>(E103+H103)/2</f>
        <v>2.3005984232688776</v>
      </c>
      <c r="H103" s="123">
        <f>PV(C94,D93,0,-I94)</f>
        <v>2.3005984232688776</v>
      </c>
      <c r="I103" s="109">
        <f>PV(C93,D93,0,-I94)</f>
        <v>3.2685572243698457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1868702.0882937661</v>
      </c>
      <c r="D106" s="109">
        <f>(D100+D103)/2</f>
        <v>4.538496502164989</v>
      </c>
      <c r="E106" s="123">
        <f>(E100+E103)/2</f>
        <v>5.3394076496058691</v>
      </c>
      <c r="F106" s="109">
        <f>(F100+F103)/2</f>
        <v>5.3394076496058691</v>
      </c>
      <c r="H106" s="123">
        <f>(H100+H103)/2</f>
        <v>5.3394076496058691</v>
      </c>
      <c r="I106" s="123">
        <f>(I100+I103)/2</f>
        <v>7.5859216760556745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2024-12-03T07:54:16Z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