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4757EFB-F435-4FE0-83DE-D2DA4F837D1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<sst xmlns="http://schemas.openxmlformats.org/spreadsheetml/2006/main" count="390" uniqueCount="268">
  <si>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</si>
  <si>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</si>
  <si>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</si>
  <si>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</si>
  <si>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</si>
  <si>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</si>
  <si>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</si>
  <si>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</si>
  <si>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</si>
  <si>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</si>
  <si>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</si>
  <si>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</si>
  <si>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</si>
  <si>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</si>
  <si>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</si>
  <si>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</si>
  <si>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</si>
  <si>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</si>
  <si>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</si>
  <si>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</si>
  <si>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</si>
  <si>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</si>
  <si>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</si>
  <si>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</si>
  <si>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</si>
  <si>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</si>
  <si>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</si>
  <si>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</si>
  <si>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</si>
  <si>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</si>
  <si>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</si>
  <si>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</si>
  <si>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</si>
  <si>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</si>
  <si>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</si>
  <si>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</si>
  <si>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</si>
  <si>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</si>
  <si>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</si>
  <si>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</si>
  <si>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</si>
  <si>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</si>
  <si>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</si>
  <si>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</si>
  <si>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</si>
  <si>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</si>
  <si>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</si>
  <si>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</si>
  <si>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</si>
  <si>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</si>
  <si>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</si>
  <si>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</si>
  <si>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</si>
  <si>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</si>
  <si>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</si>
  <si>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</si>
  <si>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</si>
  <si>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</si>
  <si>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</si>
  <si>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</si>
  <si>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</si>
  <si>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</si>
  <si>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</si>
  <si>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</si>
  <si>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</si>
  <si>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</si>
  <si>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</si>
  <si>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</si>
  <si>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</si>
  <si>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</si>
  <si>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</si>
  <si>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</si>
  <si>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</si>
  <si>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</si>
  <si>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</si>
  <si>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</si>
  <si>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</si>
  <si>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</si>
  <si>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</si>
  <si>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</si>
  <si>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</si>
  <si>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</si>
  <si>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</si>
  <si>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</si>
  <si>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</si>
  <si>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</si>
  <si>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</si>
  <si>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</si>
  <si>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</si>
  <si>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</si>
  <si>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</si>
  <si>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</si>
  <si>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</si>
  <si>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</si>
  <si>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</si>
  <si>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</si>
  <si>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</si>
  <si>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</si>
  <si>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</si>
  <si>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</si>
  <si>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</si>
  <si>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</si>
  <si>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</si>
  <si>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</si>
  <si>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</si>
  <si>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</si>
  <si>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</si>
  <si>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</si>
  <si>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</si>
  <si>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</si>
  <si>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</si>
  <si>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</si>
  <si>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</si>
  <si>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</si>
  <si>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</si>
  <si>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</si>
  <si>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</si>
  <si>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</si>
  <si>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</si>
  <si>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</si>
  <si>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</si>
  <si>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</si>
  <si>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</si>
  <si>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</si>
  <si>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</si>
  <si>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</si>
  <si>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</si>
  <si>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</si>
  <si>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</si>
  <si>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</si>
  <si>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</si>
  <si>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</si>
  <si>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</si>
  <si>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</si>
  <si>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</si>
  <si>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</si>
  <si>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</si>
  <si>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</si>
  <si>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</si>
  <si>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</si>
  <si>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</si>
  <si>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</si>
  <si>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</si>
  <si>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</si>
  <si>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</si>
  <si>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</si>
  <si>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</si>
  <si>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</si>
  <si>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</si>
  <si>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</si>
  <si>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</si>
  <si>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</si>
  <si>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</si>
  <si>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</si>
  <si>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</si>
  <si>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</si>
  <si>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</si>
  <si>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</si>
  <si>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</si>
  <si>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</si>
  <si>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</si>
  <si>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</si>
  <si>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</si>
  <si>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</si>
  <si>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</si>
  <si>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</si>
  <si>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</si>
  <si>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</si>
  <si>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</si>
  <si>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</si>
  <si>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</si>
  <si>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</si>
  <si>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</si>
  <si>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</si>
  <si>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</si>
  <si>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</si>
  <si>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</si>
  <si>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</si>
  <si>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</si>
  <si>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</si>
  <si>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</si>
  <si>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</si>
  <si>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</si>
  <si>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</si>
  <si>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</si>
  <si>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</si>
  <si>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</si>
  <si>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</si>
  <si>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</si>
  <si>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</si>
  <si>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</si>
  <si>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</si>
  <si>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</si>
  <si>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</si>
  <si>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</si>
  <si>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</si>
  <si>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</si>
  <si>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</si>
  <si>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</si>
  <si>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</si>
  <si>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</si>
  <si>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</si>
  <si>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</si>
  <si>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</si>
  <si>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</si>
  <si>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</si>
  <si>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</si>
  <si>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</si>
  <si>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</si>
  <si>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</si>
  <si>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</si>
  <si>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</si>
  <si>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</si>
  <si>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</si>
  <si>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</si>
  <si>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</si>
  <si>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</si>
  <si>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</si>
  <si>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</si>
  <si>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</si>
  <si>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</si>
  <si>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</si>
  <si>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</si>
  <si>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</si>
  <si>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</si>
  <si>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</si>
  <si>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</si>
  <si>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</si>
  <si>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</si>
  <si>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</si>
  <si>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</si>
  <si>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</si>
  <si>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</si>
  <si>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</si>
  <si>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</si>
  <si>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</si>
  <si>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</si>
  <si>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</si>
  <si>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</si>
  <si>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</si>
  <si>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</si>
  <si>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</si>
  <si>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</si>
  <si>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</si>
  <si>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</si>
  <si>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</si>
  <si>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</si>
  <si>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</si>
  <si>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</si>
  <si>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</si>
  <si>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</si>
  <si>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</si>
  <si>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</si>
  <si>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</si>
  <si>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</si>
  <si>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</si>
  <si>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</si>
  <si>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</si>
  <si>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1398.HK</t>
  </si>
  <si>
    <t>工商银行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</si>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</sst>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356406257089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1542930</v>
      </c>
      <c r="D25" s="150">
        <v>1278674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18534</v>
      </c>
      <c r="D26" s="151">
        <v>16493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238698</v>
      </c>
      <c r="D27" s="151">
        <v>239351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750026</v>
      </c>
      <c r="D29" s="151">
        <v>586689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1123</v>
      </c>
      <c r="D30" s="151">
        <v>978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0.3064+0.1434</f>
        <v>0.44979999999999998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0.10241640607769069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638618</v>
      </c>
      <c r="D72" s="249">
        <v>0</v>
      </c>
      <c r="E72" s="250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1542930</v>
      </c>
      <c r="D91" s="210"/>
      <c r="E91" s="252">
        <f>C91</f>
        <v>1542930</v>
      </c>
      <c r="F91" s="252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60">
        <f>C92/C91</f>
        <v>1.2012210534502537E-2</v>
      </c>
      <c r="E92" s="253">
        <f>E91*D92</f>
        <v>18534</v>
      </c>
      <c r="F92" s="253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60">
        <f>C93/C91</f>
        <v>0.15470436118294414</v>
      </c>
      <c r="E93" s="253">
        <f>E91*D93</f>
        <v>238698</v>
      </c>
      <c r="F93" s="253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60">
        <f>C94/C91</f>
        <v>0.48610500800425166</v>
      </c>
      <c r="E94" s="254"/>
      <c r="F94" s="253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60">
        <f>C97/C91</f>
        <v>9.7044800044936142E-4</v>
      </c>
      <c r="E97" s="254"/>
      <c r="F97" s="253">
        <f>F91*D97</f>
        <v>1497.3333333333333</v>
      </c>
    </row>
    <row r="98" spans="2:7" ht="13.9" x14ac:dyDescent="0.4">
      <c r="B98" s="86" t="s">
        <v>207</v>
      </c>
      <c r="C98" s="238">
        <f>C44</f>
        <v>0.44979999999999998</v>
      </c>
      <c r="D98" s="267"/>
      <c r="E98" s="255">
        <f>F98</f>
        <v>0.30640000000000001</v>
      </c>
      <c r="F98" s="255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1398.HK</v>
      </c>
      <c r="D3" s="277"/>
      <c r="E3" s="87"/>
      <c r="F3" s="3" t="s">
        <v>1</v>
      </c>
      <c r="G3" s="132">
        <v>4.71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工商银行</v>
      </c>
      <c r="D4" s="279"/>
      <c r="E4" s="87"/>
      <c r="F4" s="3" t="s">
        <v>2</v>
      </c>
      <c r="G4" s="282">
        <f>Inputs!C10</f>
        <v>356406257089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1678673.47088919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1.2012210534502537E-2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0.40504363807241306</v>
      </c>
    </row>
    <row r="24" spans="1:8" ht="15.75" customHeight="1" x14ac:dyDescent="0.4">
      <c r="B24" s="137" t="s">
        <v>170</v>
      </c>
      <c r="C24" s="172">
        <f>Fin_Analysis!I81</f>
        <v>0.48610500800425166</v>
      </c>
      <c r="F24" s="140" t="s">
        <v>257</v>
      </c>
      <c r="G24" s="269">
        <f>G3/(Fin_Analysis!H86*G7)</f>
        <v>3.9070654651648984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0.27257720239339839</v>
      </c>
    </row>
    <row r="26" spans="1:8" ht="15.75" customHeight="1" x14ac:dyDescent="0.4">
      <c r="B26" s="138" t="s">
        <v>173</v>
      </c>
      <c r="C26" s="172">
        <f>Fin_Analysis!I83</f>
        <v>0.34620797227785238</v>
      </c>
      <c r="F26" s="141" t="s">
        <v>193</v>
      </c>
      <c r="G26" s="179">
        <f>Fin_Analysis!H88*Exchange_Rate/G3</f>
        <v>6.9765199693651456E-2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2.7020868601328685</v>
      </c>
      <c r="D29" s="129">
        <f>G29*(1+G20)</f>
        <v>5.1938989407731109</v>
      </c>
      <c r="E29" s="87"/>
      <c r="F29" s="131">
        <f>IF(Fin_Analysis!C108="Profit",Fin_Analysis!F100,IF(Fin_Analysis!C108="Dividend",Fin_Analysis!F103,Fin_Analysis!F106))</f>
        <v>3.1789257178033745</v>
      </c>
      <c r="G29" s="273">
        <f>IF(Fin_Analysis!C108="Profit",Fin_Analysis!I100,IF(Fin_Analysis!C108="Dividend",Fin_Analysis!I103,Fin_Analysis!I106))</f>
        <v>4.5164338615418362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1542930</v>
      </c>
      <c r="D6" s="201">
        <f>IF(Inputs!D25="","",Inputs!D25)</f>
        <v>1278674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18534</v>
      </c>
      <c r="D8" s="200">
        <f>IF(Inputs!D26="","",Inputs!D26)</f>
        <v>16493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1524396</v>
      </c>
      <c r="D9" s="152">
        <f t="shared" si="2"/>
        <v>1262181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238698</v>
      </c>
      <c r="D10" s="200">
        <f>IF(Inputs!D27="","",Inputs!D27)</f>
        <v>239351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1497.3333333333333</v>
      </c>
      <c r="D12" s="200">
        <f>IF(Inputs!D30="","",MAX(Inputs!D30,0)/(1-Fin_Analysis!$I$84))</f>
        <v>1304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0.83231298028210399</v>
      </c>
      <c r="D13" s="230">
        <f t="shared" si="3"/>
        <v>0.79889479257418228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1284200.6666666667</v>
      </c>
      <c r="D14" s="231">
        <f t="shared" ref="D14:M14" si="4">IF(D6="","",D9-D10-MAX(D11,0)-MAX(D12,0))</f>
        <v>1021526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0.2571394821734021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750026</v>
      </c>
      <c r="D17" s="200">
        <f>IF(Inputs!D29="","",Inputs!D29)</f>
        <v>586689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534174.66666666674</v>
      </c>
      <c r="D22" s="162">
        <f t="shared" ref="D22:M22" si="8">IF(D6="","",D14-MAX(D16,0)-MAX(D17,0)-ABS(MAX(D21,0)-MAX(D19,0)))</f>
        <v>434837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0.25965597920838929</v>
      </c>
      <c r="D23" s="154">
        <f t="shared" si="9"/>
        <v>0.25505152212370003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0.22844805448171784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4.2196363500311286E-2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1.2012210534502537E-2</v>
      </c>
      <c r="D42" s="157">
        <f t="shared" si="34"/>
        <v>1.2898518308810534E-2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0.15470436118294414</v>
      </c>
      <c r="D43" s="154">
        <f t="shared" si="35"/>
        <v>0.18718688266125691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0.48610500800425166</v>
      </c>
      <c r="D45" s="154">
        <f t="shared" si="37"/>
        <v>0.45882609640924893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9.7044800044936142E-4</v>
      </c>
      <c r="D46" s="154">
        <f t="shared" ref="D46:M46" si="38">IF(D6="","",MAX(D12,0)/D6)</f>
        <v>1.0198064557502538E-3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0.34620797227785238</v>
      </c>
      <c r="D48" s="154">
        <f t="shared" si="40"/>
        <v>0.34006869616493335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0.91797994232852775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1.2634035849314423E-2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1.4040838077932061</v>
      </c>
      <c r="D55" s="154">
        <f t="shared" si="45"/>
        <v>1.3492159130892725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1.0639184029144524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-16695501.649516404</v>
      </c>
      <c r="E6" s="56">
        <f>1-D6/D3</f>
        <v>5.3202218474044649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9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9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9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6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9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9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7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9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9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9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42280604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10"/>
      <c r="E74" s="239">
        <f>Inputs!E91</f>
        <v>1542930</v>
      </c>
      <c r="F74" s="210"/>
      <c r="H74" s="239">
        <f>Inputs!F91</f>
        <v>1542930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60">
        <f>C75/$C$74</f>
        <v>1.2012210534502537E-2</v>
      </c>
      <c r="E75" s="239">
        <f>Inputs!E92</f>
        <v>18534</v>
      </c>
      <c r="F75" s="161">
        <f>E75/E74</f>
        <v>1.2012210534502537E-2</v>
      </c>
      <c r="H75" s="239">
        <f>Inputs!F92</f>
        <v>18534</v>
      </c>
      <c r="I75" s="161">
        <f>H75/$H$74</f>
        <v>1.2012210534502537E-2</v>
      </c>
      <c r="K75" s="24"/>
    </row>
    <row r="76" spans="1:11" ht="15" customHeight="1" x14ac:dyDescent="0.4">
      <c r="B76" s="35" t="s">
        <v>95</v>
      </c>
      <c r="C76" s="162">
        <f>C74-C75</f>
        <v>1524396</v>
      </c>
      <c r="D76" s="211"/>
      <c r="E76" s="163">
        <f>E74-E75</f>
        <v>1524396</v>
      </c>
      <c r="F76" s="211"/>
      <c r="H76" s="163">
        <f>H74-H75</f>
        <v>1524396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60">
        <f>C77/$C$74</f>
        <v>0.15470436118294414</v>
      </c>
      <c r="E77" s="239">
        <f>Inputs!E93</f>
        <v>238698</v>
      </c>
      <c r="F77" s="161">
        <f>E77/E74</f>
        <v>0.15470436118294414</v>
      </c>
      <c r="H77" s="239">
        <f>Inputs!F93</f>
        <v>238698</v>
      </c>
      <c r="I77" s="161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60">
        <f>C78/$C$74</f>
        <v>9.7044800044936142E-4</v>
      </c>
      <c r="E78" s="181">
        <f>E74*F78</f>
        <v>1497.3333333333333</v>
      </c>
      <c r="F78" s="161">
        <f>I78</f>
        <v>9.7044800044936142E-4</v>
      </c>
      <c r="H78" s="239">
        <f>Inputs!F97</f>
        <v>1497.3333333333333</v>
      </c>
      <c r="I78" s="161">
        <f>H78/$H$74</f>
        <v>9.7044800044936142E-4</v>
      </c>
      <c r="K78" s="24"/>
    </row>
    <row r="79" spans="1:11" ht="15" customHeight="1" x14ac:dyDescent="0.4">
      <c r="B79" s="257" t="s">
        <v>232</v>
      </c>
      <c r="C79" s="258">
        <f>C76-C77-C78</f>
        <v>1284200.6666666667</v>
      </c>
      <c r="D79" s="259">
        <f>C79/C74</f>
        <v>0.83231298028210399</v>
      </c>
      <c r="E79" s="260">
        <f>E76-E77-E78</f>
        <v>1284200.6666666667</v>
      </c>
      <c r="F79" s="259">
        <f>E79/E74</f>
        <v>0.83231298028210399</v>
      </c>
      <c r="G79" s="261"/>
      <c r="H79" s="260">
        <f>H76-H77-H78</f>
        <v>1284200.6666666667</v>
      </c>
      <c r="I79" s="259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60">
        <f>C81/$C$74</f>
        <v>0.48610500800425166</v>
      </c>
      <c r="E81" s="181">
        <f>E74*F81</f>
        <v>750026</v>
      </c>
      <c r="F81" s="161">
        <f>I81</f>
        <v>0.48610500800425166</v>
      </c>
      <c r="H81" s="239">
        <f>Inputs!F94</f>
        <v>750026</v>
      </c>
      <c r="I81" s="161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534174.66666666674</v>
      </c>
      <c r="D83" s="165">
        <f>C83/$C$74</f>
        <v>0.34620797227785238</v>
      </c>
      <c r="E83" s="166">
        <f>E79-E81-E82-E80</f>
        <v>534174.66666666674</v>
      </c>
      <c r="F83" s="165">
        <f>E83/E74</f>
        <v>0.34620797227785238</v>
      </c>
      <c r="H83" s="166">
        <f>H79-H81-H82-H80</f>
        <v>534174.66666666674</v>
      </c>
      <c r="I83" s="165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400631.00000000006</v>
      </c>
      <c r="D85" s="259">
        <f>C85/$C$74</f>
        <v>0.25965597920838929</v>
      </c>
      <c r="E85" s="265">
        <f>E83*(1-F84)</f>
        <v>400631.00000000006</v>
      </c>
      <c r="F85" s="259">
        <f>E85/E74</f>
        <v>0.25965597920838929</v>
      </c>
      <c r="G85" s="261"/>
      <c r="H85" s="265">
        <f>H83*(1-I84)</f>
        <v>400631.00000000006</v>
      </c>
      <c r="I85" s="259">
        <f>H85/$H$74</f>
        <v>0.25965597920838929</v>
      </c>
      <c r="K85" s="24"/>
    </row>
    <row r="86" spans="1:11" ht="15" customHeight="1" x14ac:dyDescent="0.4">
      <c r="B86" s="87" t="s">
        <v>160</v>
      </c>
      <c r="C86" s="168">
        <f>C85*Data!C4/Common_Shares</f>
        <v>1.1240852034198616</v>
      </c>
      <c r="D86" s="210"/>
      <c r="E86" s="169">
        <f>E85*Data!C4/Common_Shares</f>
        <v>1.1240852034198616</v>
      </c>
      <c r="F86" s="210"/>
      <c r="H86" s="169">
        <f>H85*Data!C4/Common_Shares</f>
        <v>1.1240852034198616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0.25594656882919542</v>
      </c>
      <c r="D87" s="210"/>
      <c r="E87" s="263">
        <f>E86*Exchange_Rate/Dashboard!G3</f>
        <v>0.25594656882919542</v>
      </c>
      <c r="F87" s="210"/>
      <c r="H87" s="263">
        <f>H86*Exchange_Rate/Dashboard!G3</f>
        <v>0.25594656882919542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0.44979999999999998</v>
      </c>
      <c r="D88" s="167">
        <f>C88/C86</f>
        <v>0.40014760325244969</v>
      </c>
      <c r="E88" s="171">
        <f>Inputs!E98</f>
        <v>0.30640000000000001</v>
      </c>
      <c r="F88" s="167">
        <f>E88/E86</f>
        <v>0.27257720239339839</v>
      </c>
      <c r="H88" s="171">
        <f>Inputs!F98</f>
        <v>0.30640000000000001</v>
      </c>
      <c r="I88" s="167">
        <f>H88/H86</f>
        <v>0.27257720239339839</v>
      </c>
      <c r="K88" s="24"/>
    </row>
    <row r="89" spans="1:11" ht="15" customHeight="1" x14ac:dyDescent="0.4">
      <c r="B89" s="87" t="s">
        <v>221</v>
      </c>
      <c r="C89" s="262">
        <f>C88*Exchange_Rate/Dashboard!G3</f>
        <v>0.10241640607769069</v>
      </c>
      <c r="D89" s="210"/>
      <c r="E89" s="262">
        <f>E88*Exchange_Rate/Dashboard!G3</f>
        <v>6.9765199693651456E-2</v>
      </c>
      <c r="F89" s="210"/>
      <c r="H89" s="262">
        <f>H88*Exchange_Rate/Dashboard!G3</f>
        <v>6.9765199693651456E-2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52.323109001601011</v>
      </c>
      <c r="H93" s="87" t="s">
        <v>209</v>
      </c>
      <c r="I93" s="144">
        <f>FV(H87,D93,0,-(H86/C93))*Exchange_Rate</f>
        <v>52.323109001601011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6.3939550910324119</v>
      </c>
      <c r="H94" s="87" t="s">
        <v>210</v>
      </c>
      <c r="I94" s="144">
        <f>FV(H89,D93,0,-(H88/C93))*Exchange_Rate</f>
        <v>6.3939550910324119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9271492.6788807306</v>
      </c>
      <c r="D97" s="214"/>
      <c r="E97" s="123">
        <f>PV(C94,D93,0,-F93)</f>
        <v>26.013832514072554</v>
      </c>
      <c r="F97" s="214"/>
      <c r="H97" s="123">
        <f>PV(C94,D93,0,-I93)</f>
        <v>26.013832514072554</v>
      </c>
      <c r="I97" s="123">
        <f>PV(C93,D93,0,-I93)</f>
        <v>36.958949174886747</v>
      </c>
      <c r="K97" s="24"/>
    </row>
    <row r="98" spans="2:11" ht="15" customHeight="1" x14ac:dyDescent="0.4">
      <c r="B98" s="28" t="s">
        <v>144</v>
      </c>
      <c r="C98" s="91">
        <f>E53*Exchange_Rate</f>
        <v>675462.47387886047</v>
      </c>
      <c r="D98" s="214"/>
      <c r="E98" s="214"/>
      <c r="F98" s="214"/>
      <c r="H98" s="123">
        <f>C98*Data!$C$4/Common_Shares</f>
        <v>1.8952037469706582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-34487889.51719068</v>
      </c>
      <c r="D99" s="215"/>
      <c r="E99" s="146">
        <f>IF(H99&gt;0,H99*(1-C94),H99*(1+C94))</f>
        <v>-111.28051810511653</v>
      </c>
      <c r="F99" s="215"/>
      <c r="H99" s="146">
        <f>C99*Data!$C$4/Common_Shares</f>
        <v>-96.765667917492635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-25891859.312188812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1132989.0166462634</v>
      </c>
      <c r="D103" s="109">
        <f>MIN(F103*(1-C94),E103)</f>
        <v>2.7020868601328685</v>
      </c>
      <c r="E103" s="123">
        <f>PV(C94,D93,0,-F94)</f>
        <v>3.1789257178033745</v>
      </c>
      <c r="F103" s="109">
        <f>(E103+H103)/2</f>
        <v>3.1789257178033745</v>
      </c>
      <c r="H103" s="123">
        <f>PV(C94,D93,0,-I94)</f>
        <v>3.1789257178033745</v>
      </c>
      <c r="I103" s="109">
        <f>PV(C93,D93,0,-I94)</f>
        <v>4.5164338615418362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566494.50832313171</v>
      </c>
      <c r="D106" s="109">
        <f>(D100+D103)/2</f>
        <v>1.3510434300664342</v>
      </c>
      <c r="E106" s="123">
        <f>(E100+E103)/2</f>
        <v>1.5894628589016873</v>
      </c>
      <c r="F106" s="109">
        <f>(F100+F103)/2</f>
        <v>1.5894628589016873</v>
      </c>
      <c r="H106" s="123">
        <f>(H100+H103)/2</f>
        <v>1.5894628589016873</v>
      </c>
      <c r="I106" s="123">
        <f>(I100+I103)/2</f>
        <v>2.2582169307709181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