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870012-54D3-40E0-BC8B-771663EDE4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<sst xmlns="http://schemas.openxmlformats.org/spreadsheetml/2006/main" count="390" uniqueCount="267">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</sst>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1333333500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6.5771770700812346E-2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6601.HK</v>
      </c>
      <c r="D3" s="277"/>
      <c r="E3" s="87"/>
      <c r="F3" s="3" t="s">
        <v>1</v>
      </c>
      <c r="G3" s="132">
        <v>1.92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朝云集团</v>
      </c>
      <c r="D4" s="279"/>
      <c r="E4" s="87"/>
      <c r="F4" s="3" t="s">
        <v>2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2560.0003200000001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0.55541924442229906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0.78884237883193908</v>
      </c>
    </row>
    <row r="24" spans="1:8" ht="15.75" customHeight="1" x14ac:dyDescent="0.4">
      <c r="B24" s="137" t="s">
        <v>170</v>
      </c>
      <c r="C24" s="172">
        <f>Fin_Analysis!I81</f>
        <v>6.208277497005729E-4</v>
      </c>
      <c r="F24" s="140" t="s">
        <v>259</v>
      </c>
      <c r="G24" s="269">
        <f>G3/(Fin_Analysis!H86*G7)</f>
        <v>39.525739086591244</v>
      </c>
    </row>
    <row r="25" spans="1:8" ht="15.75" customHeight="1" x14ac:dyDescent="0.4">
      <c r="B25" s="137" t="s">
        <v>243</v>
      </c>
      <c r="C25" s="172">
        <f>Fin_Analysis!I82</f>
        <v>1.2789175437999239E-2</v>
      </c>
      <c r="F25" s="140" t="s">
        <v>174</v>
      </c>
      <c r="G25" s="172">
        <f>Fin_Analysis!I88</f>
        <v>2.5996778479834153</v>
      </c>
    </row>
    <row r="26" spans="1:8" ht="15.75" customHeight="1" x14ac:dyDescent="0.4">
      <c r="B26" s="138" t="s">
        <v>173</v>
      </c>
      <c r="C26" s="172">
        <f>Fin_Analysis!I83</f>
        <v>4.9862433731434744E-2</v>
      </c>
      <c r="F26" s="141" t="s">
        <v>193</v>
      </c>
      <c r="G26" s="179">
        <f>Fin_Analysis!H88*Exchange_Rate/G3</f>
        <v>6.5771770700812346E-2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1.2979927200312489</v>
      </c>
      <c r="D29" s="129">
        <f>G29*(1+G20)</f>
        <v>2.2070546517489893</v>
      </c>
      <c r="E29" s="87"/>
      <c r="F29" s="131">
        <f>IF(Fin_Analysis!C108="Profit",Fin_Analysis!F100,IF(Fin_Analysis!C108="Dividend",Fin_Analysis!F103,Fin_Analysis!F106))</f>
        <v>1.5270502588602928</v>
      </c>
      <c r="G29" s="273">
        <f>IF(Fin_Analysis!C108="Profit",Fin_Analysis!I100,IF(Fin_Analysis!C108="Dividend",Fin_Analysis!I103,Fin_Analysis!I106))</f>
        <v>1.9191779580425994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2126445.6114939451</v>
      </c>
      <c r="E6" s="56">
        <f>1-D6/D3</f>
        <v>0.29757499062067849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1.709664762186446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8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95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232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160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2.5299969668100174E-2</v>
      </c>
      <c r="D87" s="210"/>
      <c r="E87" s="263">
        <f>E86*Exchange_Rate/Dashboard!G3</f>
        <v>2.5299969668100174E-2</v>
      </c>
      <c r="F87" s="210"/>
      <c r="H87" s="263">
        <f>H86*Exchange_Rate/Dashboard!G3</f>
        <v>2.5299969668100174E-2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221</v>
      </c>
      <c r="C89" s="262">
        <f>C88*Exchange_Rate/Dashboard!G3</f>
        <v>6.5771770700812346E-2</v>
      </c>
      <c r="D89" s="210"/>
      <c r="E89" s="262">
        <f>E88*Exchange_Rate/Dashboard!G3</f>
        <v>6.5771770700812346E-2</v>
      </c>
      <c r="F89" s="210"/>
      <c r="H89" s="262">
        <f>H88*Exchange_Rate/Dashboard!G3</f>
        <v>6.5771770700812346E-2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0.76444009080077902</v>
      </c>
      <c r="H93" s="87" t="s">
        <v>209</v>
      </c>
      <c r="I93" s="144">
        <f>FV(H87,D93,0,-(H86/C93))*Exchange_Rate</f>
        <v>0.76444009080077902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2.4117335802226894</v>
      </c>
      <c r="H94" s="87" t="s">
        <v>210</v>
      </c>
      <c r="I94" s="144">
        <f>FV(H89,D93,0,-(H88/C93))*Exchange_Rate</f>
        <v>2.4117335802226894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506749.16824425088</v>
      </c>
      <c r="D97" s="214"/>
      <c r="E97" s="123">
        <f>PV(C94,D93,0,-F93)</f>
        <v>0.38006182867545957</v>
      </c>
      <c r="F97" s="214"/>
      <c r="H97" s="123">
        <f>PV(C94,D93,0,-I93)</f>
        <v>0.38006182867545957</v>
      </c>
      <c r="I97" s="123">
        <f>PV(C93,D93,0,-I93)</f>
        <v>0.53996987186459622</v>
      </c>
      <c r="K97" s="24"/>
    </row>
    <row r="98" spans="2:11" ht="15" customHeight="1" x14ac:dyDescent="0.4">
      <c r="B98" s="28" t="s">
        <v>144</v>
      </c>
      <c r="C98" s="91">
        <f>E53*Exchange_Rate</f>
        <v>4277.2867655754089</v>
      </c>
      <c r="D98" s="214"/>
      <c r="E98" s="214"/>
      <c r="F98" s="214"/>
      <c r="H98" s="123">
        <f>C98*Data!$C$4/Common_Shares</f>
        <v>3.2079646731859725E-3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2130722.8982595205</v>
      </c>
      <c r="D99" s="215"/>
      <c r="E99" s="146">
        <f>IF(H99&gt;0,H99*(1-C94),H99*(1+C94))</f>
        <v>1.3583356778484845</v>
      </c>
      <c r="F99" s="215"/>
      <c r="H99" s="146">
        <f>C99*Data!$C$4/Common_Shares</f>
        <v>1.5980419739393936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2633194.7797381962</v>
      </c>
      <c r="D100" s="109">
        <f>MIN(F100*(1-C94),E100)</f>
        <v>1.5767862864117808</v>
      </c>
      <c r="E100" s="109">
        <f>MAX(E97-H98+E99,0)</f>
        <v>1.7351895418507581</v>
      </c>
      <c r="F100" s="109">
        <f>(E100+H100)/2</f>
        <v>1.8550426898962127</v>
      </c>
      <c r="H100" s="109">
        <f>MAX(C100*Data!$C$4/Common_Shares,0)</f>
        <v>1.9748958379416675</v>
      </c>
      <c r="I100" s="109">
        <f>MAX(I97-H98+H99,0)</f>
        <v>2.1348038811308037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1598743.9702754689</v>
      </c>
      <c r="D103" s="109">
        <f>MIN(F103*(1-C94),E103)</f>
        <v>1.019199153650717</v>
      </c>
      <c r="E103" s="123">
        <f>PV(C94,D93,0,-F94)</f>
        <v>1.1990578278243731</v>
      </c>
      <c r="F103" s="109">
        <f>(E103+H103)/2</f>
        <v>1.1990578278243731</v>
      </c>
      <c r="H103" s="123">
        <f>PV(C94,D93,0,-I94)</f>
        <v>1.1990578278243731</v>
      </c>
      <c r="I103" s="109">
        <f>PV(C93,D93,0,-I94)</f>
        <v>1.7035520349543949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1956165.1576373684</v>
      </c>
      <c r="D106" s="109">
        <f>(D100+D103)/2</f>
        <v>1.2979927200312489</v>
      </c>
      <c r="E106" s="123">
        <f>(E100+E103)/2</f>
        <v>1.4671236848375657</v>
      </c>
      <c r="F106" s="109">
        <f>(F100+F103)/2</f>
        <v>1.5270502588602928</v>
      </c>
      <c r="H106" s="123">
        <f>(H100+H103)/2</f>
        <v>1.5869768328830203</v>
      </c>
      <c r="I106" s="123">
        <f>(I100+I103)/2</f>
        <v>1.9191779580425994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