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BDB1AC4-4021-48EE-AC95-981BB5A587D4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<sst xmlns="http://schemas.openxmlformats.org/spreadsheetml/2006/main" count="390" uniqueCount="273">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</sst>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5" zoomScaleNormal="100" workbookViewId="0">
      <selection activeCell="C37" sqref="C3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263</v>
      </c>
    </row>
    <row r="5" spans="1:5" ht="13.9" x14ac:dyDescent="0.4">
      <c r="B5" s="141" t="s">
        <v>181</v>
      </c>
      <c r="C5" s="191" t="s">
        <v>264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265</v>
      </c>
      <c r="E8" s="267"/>
    </row>
    <row r="9" spans="1:5" ht="13.9" x14ac:dyDescent="0.4">
      <c r="B9" s="140" t="s">
        <v>202</v>
      </c>
      <c r="C9" s="192" t="s">
        <v>266</v>
      </c>
    </row>
    <row r="10" spans="1:5" ht="13.9" x14ac:dyDescent="0.4">
      <c r="B10" s="140" t="s">
        <v>203</v>
      </c>
      <c r="C10" s="193">
        <v>18208334222</v>
      </c>
    </row>
    <row r="11" spans="1:5" ht="13.9" x14ac:dyDescent="0.4">
      <c r="B11" s="140" t="s">
        <v>204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176</v>
      </c>
    </row>
    <row r="16" spans="1:5" ht="13.9" x14ac:dyDescent="0.4">
      <c r="B16" s="222" t="s">
        <v>93</v>
      </c>
      <c r="C16" s="223">
        <v>0.23499999999999999</v>
      </c>
      <c r="D16" s="24" t="s">
        <v>268</v>
      </c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269</v>
      </c>
      <c r="D18" s="24"/>
    </row>
    <row r="19" spans="2:13" ht="13.9" x14ac:dyDescent="0.4">
      <c r="B19" s="240" t="s">
        <v>225</v>
      </c>
      <c r="C19" s="242" t="s">
        <v>269</v>
      </c>
      <c r="D19" s="24"/>
    </row>
    <row r="20" spans="2:13" ht="13.9" x14ac:dyDescent="0.4">
      <c r="B20" s="241" t="s">
        <v>214</v>
      </c>
      <c r="C20" s="242" t="s">
        <v>269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262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>
        <v>2784589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261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>
        <v>190414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>
        <v>7121</v>
      </c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8.4999196879069011E-2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271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102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230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238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193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0005.HK</v>
      </c>
      <c r="D3" s="290"/>
      <c r="E3" s="87"/>
      <c r="F3" s="3" t="s">
        <v>1</v>
      </c>
      <c r="G3" s="132">
        <v>75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HSBC</v>
      </c>
      <c r="D4" s="292"/>
      <c r="E4" s="87"/>
      <c r="F4" s="3" t="s">
        <v>2</v>
      </c>
      <c r="G4" s="295">
        <f>Inputs!C10</f>
        <v>18208334222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1365625.0666499999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259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249</v>
      </c>
      <c r="C20" s="276">
        <f>C23*C22*(1/C21)</f>
        <v>0.42479858937950304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247</v>
      </c>
      <c r="C21" s="278">
        <f>Data!C53</f>
        <v>6.161103030820473E-2</v>
      </c>
      <c r="F21" s="87"/>
      <c r="G21" s="29"/>
    </row>
    <row r="22" spans="1:8" ht="15.75" customHeight="1" x14ac:dyDescent="0.4">
      <c r="B22" s="279" t="s">
        <v>254</v>
      </c>
      <c r="C22" s="280">
        <f>Data!C48</f>
        <v>3.9154246231012206E-2</v>
      </c>
      <c r="F22" s="142" t="s">
        <v>171</v>
      </c>
    </row>
    <row r="23" spans="1:8" ht="15.75" customHeight="1" thickBot="1" x14ac:dyDescent="0.45">
      <c r="B23" s="281" t="s">
        <v>255</v>
      </c>
      <c r="C23" s="282">
        <f>Data!C13</f>
        <v>0.66844036814615959</v>
      </c>
      <c r="F23" s="140" t="s">
        <v>175</v>
      </c>
      <c r="G23" s="177">
        <f>G3/(Data!C34*Data!C4/Common_Shares*Exchange_Rate)</f>
        <v>0.92250848689962683</v>
      </c>
    </row>
    <row r="24" spans="1:8" ht="15.75" customHeight="1" x14ac:dyDescent="0.4">
      <c r="B24" s="137" t="s">
        <v>256</v>
      </c>
      <c r="C24" s="171">
        <f>Fin_Analysis!I81</f>
        <v>0.55863466227121317</v>
      </c>
      <c r="F24" s="140" t="s">
        <v>240</v>
      </c>
      <c r="G24" s="268">
        <f>G3/(Fin_Analysis!H86*G7)</f>
        <v>17.952156583901218</v>
      </c>
    </row>
    <row r="25" spans="1:8" ht="15.75" customHeight="1" x14ac:dyDescent="0.4">
      <c r="B25" s="137" t="s">
        <v>257</v>
      </c>
      <c r="C25" s="171">
        <f>Fin_Analysis!I80</f>
        <v>0</v>
      </c>
      <c r="F25" s="140" t="s">
        <v>162</v>
      </c>
      <c r="G25" s="171">
        <f>Fin_Analysis!I88</f>
        <v>1.1351347854221043</v>
      </c>
    </row>
    <row r="26" spans="1:8" ht="15.75" customHeight="1" x14ac:dyDescent="0.4">
      <c r="B26" s="138" t="s">
        <v>258</v>
      </c>
      <c r="C26" s="171">
        <f>Fin_Analysis!I80+Fin_Analysis!I82</f>
        <v>0</v>
      </c>
      <c r="F26" s="141" t="s">
        <v>179</v>
      </c>
      <c r="G26" s="178">
        <f>Fin_Analysis!H88*Exchange_Rate/G3</f>
        <v>6.3231109873453775E-2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44.916759627104241</v>
      </c>
      <c r="D29" s="129">
        <f>G29*(1+G20)</f>
        <v>82.947152423005562</v>
      </c>
      <c r="E29" s="87"/>
      <c r="F29" s="131">
        <f>IF(Fin_Analysis!C108="Profit",Fin_Analysis!F100,IF(Fin_Analysis!C108="Dividend",Fin_Analysis!F103,Fin_Analysis!F106))</f>
        <v>52.843246620122635</v>
      </c>
      <c r="G29" s="286">
        <f>IF(Fin_Analysis!C108="Profit",Fin_Analysis!I100,IF(Fin_Analysis!C108="Dividend",Fin_Analysis!I103,Fin_Analysis!I106))</f>
        <v>72.127958628700497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2975003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2784589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190414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7121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3.237354486453075E-2</v>
      </c>
      <c r="D40" s="156">
        <f t="shared" si="34"/>
        <v>4.9359823399558501E-2</v>
      </c>
      <c r="E40" s="156">
        <f t="shared" si="34"/>
        <v>6.9673059498640888E-2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0.27531678170392498</v>
      </c>
      <c r="D41" s="153">
        <f t="shared" si="35"/>
        <v>0.48125091979396617</v>
      </c>
      <c r="E41" s="153">
        <f t="shared" si="35"/>
        <v>0.65350347327091518</v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0.55863466227121317</v>
      </c>
      <c r="D43" s="153">
        <f t="shared" si="37"/>
        <v>0.33037527593818983</v>
      </c>
      <c r="E43" s="153">
        <f t="shared" si="37"/>
        <v>0.18308290546662639</v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2.3869305285384647E-2</v>
      </c>
      <c r="D44" s="153">
        <f t="shared" si="38"/>
        <v>3.5050763008171136E-2</v>
      </c>
      <c r="E44" s="153">
        <f t="shared" si="38"/>
        <v>5.1299589603283173E-2</v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0.10980570587494642</v>
      </c>
      <c r="D46" s="153">
        <f t="shared" si="40"/>
        <v>0.10396321786011437</v>
      </c>
      <c r="E46" s="153">
        <f t="shared" si="40"/>
        <v>4.2440972160534399E-2</v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251</v>
      </c>
      <c r="C48" s="272">
        <f t="shared" ref="C48:M48" si="41">IF(C6="","",C6/C27)</f>
        <v>3.9154246231012206E-2</v>
      </c>
      <c r="D48" s="272" t="e">
        <f t="shared" si="41"/>
        <v>#VALUE!</v>
      </c>
      <c r="E48" s="272" t="e">
        <f t="shared" si="41"/>
        <v>#VALUE!</v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6">
        <f t="shared" ref="C53:M53" si="45">IF(C34="","",(C34-C35)/C27)</f>
        <v>6.161103030820473E-2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5.0874830030000551</v>
      </c>
      <c r="D55" s="153">
        <f t="shared" si="47"/>
        <v>3.1778092554110788</v>
      </c>
      <c r="E55" s="153">
        <f t="shared" si="47"/>
        <v>4.3138244989796455</v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249</v>
      </c>
      <c r="C58" s="274">
        <f t="shared" ref="C58:M58" si="49">IF(C14="","",C14/(C34-C35))</f>
        <v>0.4247985893795031</v>
      </c>
      <c r="D58" s="274" t="e">
        <f t="shared" si="49"/>
        <v>#VALUE!</v>
      </c>
      <c r="E58" s="274" t="e">
        <f t="shared" si="49"/>
        <v>#VALUE!</v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250</v>
      </c>
      <c r="C59" s="274">
        <f t="shared" ref="C59:M59" si="50">IF(C22="","",C22/(C34-C35))</f>
        <v>6.978230397853305E-2</v>
      </c>
      <c r="D59" s="274" t="e">
        <f t="shared" si="50"/>
        <v>#VALUE!</v>
      </c>
      <c r="E59" s="274" t="e">
        <f t="shared" si="50"/>
        <v>#VALUE!</v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102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92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161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218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156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152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5.5703613954479404E-2</v>
      </c>
      <c r="D87" s="209"/>
      <c r="E87" s="262">
        <f>E86*Exchange_Rate/Dashboard!G3</f>
        <v>5.5703613954479453E-2</v>
      </c>
      <c r="F87" s="209"/>
      <c r="H87" s="262">
        <f>H86*Exchange_Rate/Dashboard!G3</f>
        <v>5.5703613954479453E-2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207</v>
      </c>
      <c r="C89" s="261">
        <f>C88*Exchange_Rate/Dashboard!G3</f>
        <v>8.4999196879069011E-2</v>
      </c>
      <c r="D89" s="209"/>
      <c r="E89" s="261">
        <f>E88*Exchange_Rate/Dashboard!G3</f>
        <v>6.3231109873453775E-2</v>
      </c>
      <c r="F89" s="209"/>
      <c r="H89" s="261">
        <f>H88*Exchange_Rate/Dashboard!G3</f>
        <v>6.3231109873453775E-2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90.365556083834605</v>
      </c>
      <c r="H93" s="87" t="s">
        <v>195</v>
      </c>
      <c r="I93" s="144">
        <f>FV(H87,D93,0,-(H86/(C93-D94)))*Exchange_Rate</f>
        <v>90.365556083834605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106.28664390021871</v>
      </c>
      <c r="H94" s="87" t="s">
        <v>196</v>
      </c>
      <c r="I94" s="144">
        <f>FV(H89,D93,0,-(H88/(C93-D94)))*Exchange_Rate</f>
        <v>106.28664390021871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818057.70628760918</v>
      </c>
      <c r="D97" s="213"/>
      <c r="E97" s="123">
        <f>PV(C94,D93,0,-F93)</f>
        <v>44.927652157175409</v>
      </c>
      <c r="F97" s="213"/>
      <c r="H97" s="123">
        <f>PV(C94,D93,0,-I93)</f>
        <v>44.927652157175409</v>
      </c>
      <c r="I97" s="123">
        <f>PV(C93,D93,0,-I93)</f>
        <v>61.323632504506293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818057.70628760918</v>
      </c>
      <c r="D100" s="109">
        <f>MIN(F100*(1-C94),E100)</f>
        <v>38.188504333599099</v>
      </c>
      <c r="E100" s="109">
        <f>MAX(E97+H98+E99,0)</f>
        <v>44.927652157175409</v>
      </c>
      <c r="F100" s="109">
        <f>(E100+H100)/2</f>
        <v>44.927652157175409</v>
      </c>
      <c r="H100" s="109">
        <f>MAX(C100*Data!$C$4/Common_Shares,0)</f>
        <v>44.927652157175409</v>
      </c>
      <c r="I100" s="109">
        <f>MAX(I97+H98+H99,0)</f>
        <v>61.323632504506293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962187.49583476479</v>
      </c>
      <c r="D103" s="109">
        <f>MIN(F103*(1-C94),E103)</f>
        <v>44.916759627104241</v>
      </c>
      <c r="E103" s="123">
        <f>PV(C94,D93,0,-F94)</f>
        <v>52.843246620122635</v>
      </c>
      <c r="F103" s="109">
        <f>(E103+H103)/2</f>
        <v>52.843246620122635</v>
      </c>
      <c r="H103" s="123">
        <f>PV(C94,D93,0,-I94)</f>
        <v>52.843246620122635</v>
      </c>
      <c r="I103" s="109">
        <f>PV(C93,D93,0,-I94)</f>
        <v>72.127958628700497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890122.60106118699</v>
      </c>
      <c r="D106" s="109">
        <f>(D100+D103)/2</f>
        <v>41.55263198035167</v>
      </c>
      <c r="E106" s="123">
        <f>(E100+E103)/2</f>
        <v>48.885449388649022</v>
      </c>
      <c r="F106" s="109">
        <f>(F100+F103)/2</f>
        <v>48.885449388649022</v>
      </c>
      <c r="H106" s="123">
        <f>(H100+H103)/2</f>
        <v>48.885449388649022</v>
      </c>
      <c r="I106" s="123">
        <f>(I100+I103)/2</f>
        <v>66.725795566603395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