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0D5032B-7068-4225-8058-E98A5EA7023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E92" i="4"/>
  <c r="F97" i="4"/>
  <c r="D56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<sst xmlns="http://schemas.openxmlformats.org/spreadsheetml/2006/main" count="389" uniqueCount="272">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</sst>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68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2897780274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94</v>
      </c>
      <c r="C16" s="223">
        <v>0.23499999999999999</v>
      </c>
      <c r="D16" s="24"/>
    </row>
    <row r="17" spans="2:13" ht="13.9" x14ac:dyDescent="0.4">
      <c r="B17" s="240" t="s">
        <v>211</v>
      </c>
      <c r="C17" s="242" t="s">
        <v>269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5.0100200400801605E-2</v>
      </c>
      <c r="D45" s="152">
        <f>IF(D44="","",D44*Exchange_Rate/Dashboard!$G$3)</f>
        <v>6.6132264529058127E-2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>
        <v>16221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>
        <v>748</v>
      </c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45</v>
      </c>
      <c r="C56" s="59">
        <v>214077</v>
      </c>
      <c r="D56" s="60">
        <f>D50</f>
        <v>0.6</v>
      </c>
      <c r="E56" s="221" t="s">
        <v>43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f>7954+93101</f>
        <v>101055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408424</v>
      </c>
      <c r="D66" s="60">
        <v>0.2</v>
      </c>
      <c r="E66" s="221" t="s">
        <v>43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4338</v>
      </c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3743</v>
      </c>
      <c r="D72" s="248">
        <v>0</v>
      </c>
      <c r="E72" s="249"/>
    </row>
    <row r="73" spans="2:5" ht="13.9" x14ac:dyDescent="0.4">
      <c r="B73" s="3" t="s">
        <v>36</v>
      </c>
      <c r="C73" s="59">
        <v>10498</v>
      </c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59</v>
      </c>
      <c r="C78" s="59">
        <v>116589</v>
      </c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145011</v>
      </c>
    </row>
    <row r="83" spans="2:8" ht="14.25" thickTop="1" x14ac:dyDescent="0.4">
      <c r="B83" s="73" t="s">
        <v>207</v>
      </c>
      <c r="C83" s="59">
        <v>606717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45473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103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232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241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231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194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0016.HK</v>
      </c>
      <c r="D3" s="290"/>
      <c r="E3" s="87"/>
      <c r="F3" s="3" t="s">
        <v>1</v>
      </c>
      <c r="G3" s="132">
        <v>74.849999999999994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新鴻基地產</v>
      </c>
      <c r="D4" s="292"/>
      <c r="E4" s="87"/>
      <c r="F4" s="3" t="s">
        <v>3</v>
      </c>
      <c r="G4" s="295">
        <f>Inputs!C10</f>
        <v>2897780274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45625</v>
      </c>
      <c r="D5" s="294"/>
      <c r="E5" s="34"/>
      <c r="F5" s="35" t="s">
        <v>97</v>
      </c>
      <c r="G5" s="287">
        <f>G3*G4/1000000</f>
        <v>216898.85350890001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0.33920623508169434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5.6582664391799292E-2</v>
      </c>
      <c r="F24" s="140" t="s">
        <v>243</v>
      </c>
      <c r="G24" s="268">
        <f>G3/(Fin_Analysis!H86*G7)</f>
        <v>14.319388317185698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0.71740422430790074</v>
      </c>
    </row>
    <row r="26" spans="1:8" ht="15.75" customHeight="1" x14ac:dyDescent="0.4">
      <c r="B26" s="138" t="s">
        <v>261</v>
      </c>
      <c r="C26" s="171">
        <f>Fin_Analysis!I80+Fin_Analysis!I82</f>
        <v>5.719799737085E-3</v>
      </c>
      <c r="F26" s="141" t="s">
        <v>180</v>
      </c>
      <c r="G26" s="178">
        <f>Fin_Analysis!H88*Exchange_Rate/G3</f>
        <v>5.0100200400801605E-2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disagree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187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17115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502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10498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116589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127087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698389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>
        <f>IF(C6="","",C14/MAX(C37,0))</f>
        <v>3.4730330869689581E-2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0.54949235029228316</v>
      </c>
      <c r="D40" s="156">
        <f t="shared" si="34"/>
        <v>0.51600533745347288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0.10108242664951193</v>
      </c>
      <c r="D41" s="153">
        <f t="shared" si="35"/>
        <v>0.10287239272420816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5.6582664391799292E-2</v>
      </c>
      <c r="D43" s="153">
        <f t="shared" si="37"/>
        <v>4.2882224875342372E-2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1.0218987976510586E-2</v>
      </c>
      <c r="D44" s="153">
        <f t="shared" si="38"/>
        <v>1.2264942964802092E-2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5.719799737085E-3</v>
      </c>
      <c r="D45" s="153">
        <f t="shared" si="39"/>
        <v>7.0651028864386544E-3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0.27690377095281005</v>
      </c>
      <c r="D46" s="153">
        <f t="shared" si="40"/>
        <v>0.31890999909573586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0.23935054401029285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7.0203898973512716E-3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>
        <f t="shared" ref="C51:M51" si="44">IF(D6="","",C16/(C6-D6))</f>
        <v>-7.2636655948553051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>
        <f t="shared" ref="C54:M54" si="46">IF(OR(C22="",C33=""),"",IF(C33&lt;=0,"-",C22/C33))</f>
        <v>0.15580099495425681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0.20434053388692244</v>
      </c>
      <c r="D55" s="153">
        <f t="shared" si="47"/>
        <v>0.13446497443458727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606717</v>
      </c>
      <c r="K3" s="24"/>
    </row>
    <row r="4" spans="1:11" ht="15" customHeight="1" x14ac:dyDescent="0.4">
      <c r="B4" s="3" t="s">
        <v>24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4.0099174353350966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27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28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36</v>
      </c>
      <c r="I11" s="40">
        <f>Inputs!C73</f>
        <v>10498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51</v>
      </c>
      <c r="I15" s="84">
        <f>SUM(I11:I14)</f>
        <v>10498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52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53</v>
      </c>
      <c r="I25" s="63">
        <f>E28/I28</f>
        <v>2.4824082435657617</v>
      </c>
    </row>
    <row r="26" spans="2:10" ht="15" customHeight="1" x14ac:dyDescent="0.4">
      <c r="B26" s="23" t="s">
        <v>54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55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57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116589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116589</v>
      </c>
      <c r="J34" s="87"/>
    </row>
    <row r="35" spans="2:10" ht="13.9" x14ac:dyDescent="0.4">
      <c r="B35" s="3" t="s">
        <v>67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78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80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81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82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83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4354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127087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45473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103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93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162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219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121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157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153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6.983538527269563E-2</v>
      </c>
      <c r="D87" s="209"/>
      <c r="E87" s="262">
        <f>E86*Exchange_Rate/Dashboard!G3</f>
        <v>6.983538527269563E-2</v>
      </c>
      <c r="F87" s="209"/>
      <c r="H87" s="262">
        <f>H86*Exchange_Rate/Dashboard!G3</f>
        <v>6.983538527269563E-2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208</v>
      </c>
      <c r="C89" s="261">
        <f>C88*Exchange_Rate/Dashboard!G3</f>
        <v>5.0100200400801605E-2</v>
      </c>
      <c r="D89" s="209"/>
      <c r="E89" s="261">
        <f>E88*Exchange_Rate/Dashboard!G3</f>
        <v>5.0100200400801605E-2</v>
      </c>
      <c r="F89" s="209"/>
      <c r="H89" s="261">
        <f>H88*Exchange_Rate/Dashboard!G3</f>
        <v>5.0100200400801605E-2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120.8371233445109</v>
      </c>
      <c r="H93" s="87" t="s">
        <v>196</v>
      </c>
      <c r="I93" s="144">
        <f>FV(H87,D93,0,-(H86/(C93-D94)))*Exchange_Rate</f>
        <v>120.8371233445109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78.982926792072305</v>
      </c>
      <c r="H94" s="87" t="s">
        <v>197</v>
      </c>
      <c r="I94" s="144">
        <f>FV(H89,D93,0,-(H88/(C93-D94)))*Exchange_Rate</f>
        <v>78.982926792072305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174091.1234318637</v>
      </c>
      <c r="D97" s="213"/>
      <c r="E97" s="123">
        <f>PV(C94,D93,0,-F93)</f>
        <v>60.077406487260703</v>
      </c>
      <c r="F97" s="213"/>
      <c r="H97" s="123">
        <f>PV(C94,D93,0,-I93)</f>
        <v>60.077406487260703</v>
      </c>
      <c r="I97" s="123">
        <f>PV(C93,D93,0,-I93)</f>
        <v>82.002166157267538</v>
      </c>
      <c r="K97" s="24"/>
    </row>
    <row r="98" spans="2:11" ht="15" customHeight="1" x14ac:dyDescent="0.4">
      <c r="B98" s="28" t="s">
        <v>140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112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113791.40843965752</v>
      </c>
      <c r="D103" s="109">
        <f>MIN(F103*(1-C94),E103)</f>
        <v>33.378202633768389</v>
      </c>
      <c r="E103" s="123">
        <f>PV(C94,D93,0,-F94)</f>
        <v>39.268473686786344</v>
      </c>
      <c r="F103" s="109">
        <f>(E103+H103)/2</f>
        <v>39.268473686786344</v>
      </c>
      <c r="H103" s="123">
        <f>PV(C94,D93,0,-I94)</f>
        <v>39.268473686786344</v>
      </c>
      <c r="I103" s="109">
        <f>PV(C93,D93,0,-I94)</f>
        <v>53.599182992177901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