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FFDFCF5-A707-49E8-B35A-756A9E59409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3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30" i="2"/>
  <c r="H27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E92" i="4"/>
  <c r="F97" i="4"/>
  <c r="D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<sst xmlns="http://schemas.openxmlformats.org/spreadsheetml/2006/main" count="389" uniqueCount="274">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</sst>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8171879936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239</v>
      </c>
      <c r="C15" s="176" t="s">
        <v>177</v>
      </c>
    </row>
    <row r="16" spans="1:5" ht="13.9" x14ac:dyDescent="0.4">
      <c r="B16" s="222" t="s">
        <v>94</v>
      </c>
      <c r="C16" s="223">
        <v>0.20500000000000002</v>
      </c>
      <c r="D16" s="24"/>
    </row>
    <row r="17" spans="2:13" ht="13.9" x14ac:dyDescent="0.4">
      <c r="B17" s="240" t="s">
        <v>211</v>
      </c>
      <c r="C17" s="242" t="s">
        <v>269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270</v>
      </c>
      <c r="D20" s="24"/>
    </row>
    <row r="21" spans="2:13" ht="13.9" x14ac:dyDescent="0.4">
      <c r="B21" s="224" t="s">
        <v>218</v>
      </c>
      <c r="C21" s="242" t="s">
        <v>269</v>
      </c>
      <c r="D21" s="24"/>
    </row>
    <row r="22" spans="2:13" ht="78.75" x14ac:dyDescent="0.4">
      <c r="B22" s="226" t="s">
        <v>217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264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263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7.3047858942065488E-2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>
        <v>45574</v>
      </c>
      <c r="D48" s="60">
        <v>0.9</v>
      </c>
      <c r="E48" s="112"/>
    </row>
    <row r="49" spans="2:5" ht="13.9" x14ac:dyDescent="0.4">
      <c r="B49" s="1" t="s">
        <v>131</v>
      </c>
      <c r="C49" s="59">
        <v>843</v>
      </c>
      <c r="D49" s="60">
        <v>0.8</v>
      </c>
      <c r="E49" s="112"/>
    </row>
    <row r="50" spans="2:5" ht="13.9" x14ac:dyDescent="0.4">
      <c r="B50" s="3" t="s">
        <v>113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13</v>
      </c>
      <c r="D51" s="60">
        <v>0.6</v>
      </c>
      <c r="E51" s="112"/>
    </row>
    <row r="52" spans="2:5" ht="13.9" x14ac:dyDescent="0.4">
      <c r="B52" s="3" t="s">
        <v>41</v>
      </c>
      <c r="C52" s="59">
        <v>6</v>
      </c>
      <c r="D52" s="60">
        <v>0.5</v>
      </c>
      <c r="E52" s="112"/>
    </row>
    <row r="53" spans="2:5" ht="13.9" x14ac:dyDescent="0.4">
      <c r="B53" s="1" t="s">
        <v>151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244</v>
      </c>
      <c r="C54" s="59">
        <v>0</v>
      </c>
      <c r="D54" s="60">
        <v>0.1</v>
      </c>
      <c r="E54" s="112"/>
    </row>
    <row r="55" spans="2:5" ht="13.9" x14ac:dyDescent="0.4">
      <c r="B55" s="3" t="s">
        <v>44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45</v>
      </c>
      <c r="C56" s="59">
        <v>0</v>
      </c>
      <c r="D56" s="60">
        <f>D50</f>
        <v>0.6</v>
      </c>
      <c r="E56" s="221" t="s">
        <v>43</v>
      </c>
    </row>
    <row r="57" spans="2:5" ht="13.9" x14ac:dyDescent="0.4">
      <c r="B57" s="3" t="s">
        <v>116</v>
      </c>
      <c r="C57" s="59">
        <v>9403</v>
      </c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48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58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60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62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152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243</v>
      </c>
      <c r="C64" s="59">
        <v>13047</v>
      </c>
      <c r="D64" s="60">
        <v>0.4</v>
      </c>
      <c r="E64" s="112"/>
    </row>
    <row r="65" spans="2:5" ht="13.9" x14ac:dyDescent="0.4">
      <c r="B65" s="3" t="s">
        <v>67</v>
      </c>
      <c r="C65" s="59">
        <v>23342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1641</v>
      </c>
      <c r="D66" s="60">
        <v>0.3</v>
      </c>
      <c r="E66" s="221" t="s">
        <v>43</v>
      </c>
    </row>
    <row r="67" spans="2:5" ht="13.9" x14ac:dyDescent="0.4">
      <c r="B67" s="1" t="s">
        <v>46</v>
      </c>
      <c r="C67" s="59">
        <v>0</v>
      </c>
      <c r="D67" s="60">
        <v>0.2</v>
      </c>
      <c r="E67" s="221" t="s">
        <v>43</v>
      </c>
    </row>
    <row r="68" spans="2:5" ht="13.9" x14ac:dyDescent="0.4">
      <c r="B68" s="3" t="s">
        <v>115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70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71</v>
      </c>
      <c r="C70" s="59">
        <v>0</v>
      </c>
      <c r="D70" s="60">
        <v>0.05</v>
      </c>
      <c r="E70" s="112"/>
    </row>
    <row r="71" spans="2:5" ht="13.9" x14ac:dyDescent="0.4">
      <c r="B71" s="3" t="s">
        <v>72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0</v>
      </c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>
        <v>20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59</v>
      </c>
      <c r="C78" s="59">
        <v>832</v>
      </c>
    </row>
    <row r="79" spans="2:5" ht="13.9" x14ac:dyDescent="0.4">
      <c r="B79" s="3" t="s">
        <v>61</v>
      </c>
      <c r="C79" s="59">
        <v>15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6210</v>
      </c>
    </row>
    <row r="83" spans="2:8" ht="14.25" thickTop="1" x14ac:dyDescent="0.4">
      <c r="B83" s="73" t="s">
        <v>207</v>
      </c>
      <c r="C83" s="59">
        <v>165790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272</v>
      </c>
      <c r="D87" s="269">
        <v>0.02</v>
      </c>
    </row>
    <row r="89" spans="2:8" ht="13.5" x14ac:dyDescent="0.35">
      <c r="B89" s="106" t="s">
        <v>123</v>
      </c>
      <c r="C89" s="283">
        <f>C24</f>
        <v>45473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103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232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240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231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107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0083.HK</v>
      </c>
      <c r="D3" s="290"/>
      <c r="E3" s="87"/>
      <c r="F3" s="3" t="s">
        <v>1</v>
      </c>
      <c r="G3" s="132">
        <v>7.94</v>
      </c>
      <c r="H3" s="134" t="s">
        <v>273</v>
      </c>
    </row>
    <row r="4" spans="1:10" ht="15.75" customHeight="1" x14ac:dyDescent="0.4">
      <c r="B4" s="35" t="s">
        <v>182</v>
      </c>
      <c r="C4" s="291" t="str">
        <f>Inputs!C5</f>
        <v>SINO LAND</v>
      </c>
      <c r="D4" s="292"/>
      <c r="E4" s="87"/>
      <c r="F4" s="3" t="s">
        <v>3</v>
      </c>
      <c r="G4" s="295">
        <f>Inputs!C10</f>
        <v>8171879936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64884.726691840006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261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251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249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256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257</v>
      </c>
      <c r="C23" s="282">
        <f>Data!C13</f>
        <v>0.26662863662293212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258</v>
      </c>
      <c r="C24" s="171">
        <f>Fin_Analysis!I81</f>
        <v>1.0724472333143184E-2</v>
      </c>
      <c r="F24" s="140" t="s">
        <v>242</v>
      </c>
      <c r="G24" s="268">
        <f>G3/(Fin_Analysis!H86*G7)</f>
        <v>34.407517755775118</v>
      </c>
    </row>
    <row r="25" spans="1:8" ht="15.75" customHeight="1" x14ac:dyDescent="0.4">
      <c r="B25" s="137" t="s">
        <v>259</v>
      </c>
      <c r="C25" s="171">
        <f>Fin_Analysis!I80</f>
        <v>0.02</v>
      </c>
      <c r="F25" s="140" t="s">
        <v>163</v>
      </c>
      <c r="G25" s="171">
        <f>Fin_Analysis!I88</f>
        <v>2.5133955035704743</v>
      </c>
    </row>
    <row r="26" spans="1:8" ht="15.75" customHeight="1" x14ac:dyDescent="0.4">
      <c r="B26" s="138" t="s">
        <v>260</v>
      </c>
      <c r="C26" s="171">
        <f>Fin_Analysis!I80+Fin_Analysis!I82</f>
        <v>3.0382201939532231E-2</v>
      </c>
      <c r="F26" s="141" t="s">
        <v>180</v>
      </c>
      <c r="G26" s="178">
        <f>Fin_Analysis!H88*Exchange_Rate/G3</f>
        <v>7.3047858942065488E-2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241</v>
      </c>
      <c r="H28" s="285"/>
    </row>
    <row r="29" spans="1:8" ht="15.75" customHeight="1" x14ac:dyDescent="0.4">
      <c r="B29" s="87" t="s">
        <v>161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187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>
        <f>IF(D34="","",D34+D30)</f>
        <v>174007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8192</v>
      </c>
      <c r="D28" s="199">
        <f>IF(Inputs!D35="","",Inputs!D35)</f>
        <v>7251</v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6401</v>
      </c>
      <c r="D29" s="199">
        <f>IF(Inputs!D36="","",Inputs!D36)</f>
        <v>16389</v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9">
        <f>IF(Inputs!D37="","",Inputs!D37)</f>
        <v>10902</v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20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847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867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>
        <f>IF(Inputs!D41="","",Inputs!D41)</f>
        <v>163105</v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>
        <f>IF(Inputs!D42="","",Inputs!D42)</f>
        <v>756</v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40803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>
        <f>IF(C6="","",C14/MAX(C37,0))</f>
        <v>5.727520035291523E-2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0.60969766115231028</v>
      </c>
      <c r="D40" s="156">
        <f t="shared" si="34"/>
        <v>0.54641865162865078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0.12367370222475756</v>
      </c>
      <c r="D41" s="153">
        <f t="shared" si="35"/>
        <v>9.5025671239794635E-2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0.1038220193953223</v>
      </c>
      <c r="D42" s="153">
        <f t="shared" si="36"/>
        <v>0.21387088628903292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1.0724472333143184E-2</v>
      </c>
      <c r="D43" s="153">
        <f t="shared" si="37"/>
        <v>8.0801279353589772E-3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0</v>
      </c>
      <c r="D44" s="153">
        <f t="shared" si="38"/>
        <v>3.2820226152532532E-3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1.038220193953223E-2</v>
      </c>
      <c r="D45" s="153">
        <f t="shared" si="39"/>
        <v>7.5751199393990403E-3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0.1416999429549344</v>
      </c>
      <c r="D46" s="153">
        <f t="shared" si="40"/>
        <v>0.12574752035251038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253</v>
      </c>
      <c r="C48" s="272" t="e">
        <f t="shared" ref="C48:M48" si="41">IF(C6="","",C6/C27)</f>
        <v>#DIV/0!</v>
      </c>
      <c r="D48" s="272">
        <f t="shared" si="41"/>
        <v>6.8278862344618316E-2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3">
        <f t="shared" ref="C49:M49" si="42">IF(C28="","",C28/C6)</f>
        <v>0.93462635482030809</v>
      </c>
      <c r="D49" s="153">
        <f t="shared" si="42"/>
        <v>0.61030216311758267</v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3">
        <f t="shared" ref="C50:M50" si="43">IF(C29="","",C29/C6)</f>
        <v>0.73029092983456934</v>
      </c>
      <c r="D50" s="153">
        <f t="shared" si="43"/>
        <v>1.3794293409645653</v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3">
        <f t="shared" ref="C51:M51" si="44">IF(D6="","",C16/(C6-D6))</f>
        <v>-0.2920410783055199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6" t="e">
        <f t="shared" ref="C53:M53" si="45">IF(C34="","",(C34-C35)/C27)</f>
        <v>#DIV/0!</v>
      </c>
      <c r="D53" s="156">
        <f t="shared" si="45"/>
        <v>0.93300269529386748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>
        <f t="shared" ref="C54:M54" si="46">IF(OR(C22="",C33=""),"",IF(C33&lt;=0,"-",C22/C33))</f>
        <v>1.4325259515570934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7.5684380032206122E-2</v>
      </c>
      <c r="D55" s="153">
        <f t="shared" si="47"/>
        <v>6.4256757610072962E-2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251</v>
      </c>
      <c r="C58" s="274" t="e">
        <f t="shared" ref="C58:M58" si="49">IF(C14="","",C14/(C34-C35))</f>
        <v>#DIV/0!</v>
      </c>
      <c r="D58" s="274">
        <f t="shared" si="49"/>
        <v>2.5999582931266443E-2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252</v>
      </c>
      <c r="C59" s="274" t="e">
        <f t="shared" ref="C59:M59" si="50">IF(C22="","",C22/(C34-C35))</f>
        <v>#DIV/0!</v>
      </c>
      <c r="D59" s="274">
        <f t="shared" si="50"/>
        <v>9.2024360440050492E-3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165790</v>
      </c>
      <c r="K3" s="24"/>
    </row>
    <row r="4" spans="1:11" ht="15" customHeight="1" x14ac:dyDescent="0.4">
      <c r="B4" s="3" t="s">
        <v>24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9.0093374264517774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27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28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37</v>
      </c>
      <c r="I12" s="40">
        <f>Inputs!C74</f>
        <v>20</v>
      </c>
      <c r="J12" s="87"/>
      <c r="K12" s="24"/>
    </row>
    <row r="13" spans="1:11" ht="13.9" x14ac:dyDescent="0.4">
      <c r="B13" s="3" t="s">
        <v>113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51</v>
      </c>
      <c r="I15" s="84">
        <f>SUM(I11:I14)</f>
        <v>20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116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52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53</v>
      </c>
      <c r="I25" s="63">
        <f>E28/I28</f>
        <v>7.0941417242261444</v>
      </c>
    </row>
    <row r="26" spans="2:10" ht="15" customHeight="1" x14ac:dyDescent="0.4">
      <c r="B26" s="23" t="s">
        <v>54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55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57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832</v>
      </c>
      <c r="J30" s="87"/>
    </row>
    <row r="31" spans="2:10" ht="15" customHeight="1" x14ac:dyDescent="0.4">
      <c r="B31" s="3" t="s">
        <v>60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61</v>
      </c>
      <c r="I31" s="40">
        <f>Inputs!C79</f>
        <v>15</v>
      </c>
      <c r="J31" s="87"/>
    </row>
    <row r="32" spans="2:10" ht="15" customHeight="1" x14ac:dyDescent="0.4">
      <c r="B32" s="3" t="s">
        <v>62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75</v>
      </c>
      <c r="I34" s="84">
        <f>SUM(I30:I33)</f>
        <v>847</v>
      </c>
      <c r="J34" s="87"/>
    </row>
    <row r="35" spans="2:10" ht="13.9" x14ac:dyDescent="0.4">
      <c r="B35" s="3" t="s">
        <v>67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1641</v>
      </c>
      <c r="D36" s="198">
        <f>Inputs!D66</f>
        <v>0.3</v>
      </c>
      <c r="E36" s="88">
        <f t="shared" si="1"/>
        <v>492.29999999999995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0.2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2904</v>
      </c>
      <c r="D46" s="62">
        <f>IF(E46=0,0,E46/C46)</f>
        <v>0.21301652892561981</v>
      </c>
      <c r="E46" s="88">
        <f>E36+E37+E38+E39</f>
        <v>618.59999999999991</v>
      </c>
      <c r="F46" s="87"/>
      <c r="G46" s="87"/>
      <c r="H46" s="23" t="s">
        <v>78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80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109909</v>
      </c>
      <c r="D48" s="82">
        <f>E48/C48</f>
        <v>0.39676186663512547</v>
      </c>
      <c r="E48" s="76">
        <f>SUM(E30:E42)</f>
        <v>43607.700000000004</v>
      </c>
      <c r="F48" s="87"/>
      <c r="G48" s="87"/>
      <c r="H48" s="80" t="s">
        <v>82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0.54933737745641664</v>
      </c>
      <c r="E49" s="88">
        <f>E28+E48</f>
        <v>99069.700000000012</v>
      </c>
      <c r="F49" s="87"/>
      <c r="G49" s="87"/>
      <c r="H49" s="3" t="s">
        <v>83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526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867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93967</v>
      </c>
      <c r="D61" s="56">
        <f t="shared" ref="D61:D70" si="2">IF(E61=0,0,E61/C61)</f>
        <v>0.40197196888269282</v>
      </c>
      <c r="E61" s="52">
        <f>E14+E15+(E19*G19)+(E20*G20)+E31+E32+(E35*G35)+(E36*G36)+(E37*G37)</f>
        <v>37772.1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139541</v>
      </c>
      <c r="D63" s="29">
        <f t="shared" si="2"/>
        <v>0.56462760049017846</v>
      </c>
      <c r="E63" s="61">
        <f>E61+E62</f>
        <v>78788.7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138674</v>
      </c>
      <c r="D65" s="29">
        <f t="shared" si="2"/>
        <v>0.56190562037584546</v>
      </c>
      <c r="E65" s="61">
        <f>E63-E64</f>
        <v>77921.7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40803</v>
      </c>
      <c r="D68" s="29">
        <f t="shared" si="2"/>
        <v>0.49704678577555605</v>
      </c>
      <c r="E68" s="68">
        <f>E49-E63</f>
        <v>20281.000000000015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27642</v>
      </c>
      <c r="D70" s="29">
        <f t="shared" si="2"/>
        <v>0.25757904637869961</v>
      </c>
      <c r="E70" s="68">
        <f>E68-E69</f>
        <v>7120.0000000000146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45473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103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93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107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127</v>
      </c>
    </row>
    <row r="81" spans="1:11" ht="15" customHeight="1" x14ac:dyDescent="0.4">
      <c r="B81" s="104" t="s">
        <v>240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121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157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153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1.5217602821839048E-2</v>
      </c>
      <c r="D87" s="209"/>
      <c r="E87" s="262">
        <f>E86*Exchange_Rate/Dashboard!G3</f>
        <v>2.4219513283356885E-2</v>
      </c>
      <c r="F87" s="209"/>
      <c r="H87" s="262">
        <f>H86*Exchange_Rate/Dashboard!G3</f>
        <v>2.9063415940028266E-2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208</v>
      </c>
      <c r="C89" s="261">
        <f>C88*Exchange_Rate/Dashboard!G3</f>
        <v>7.3047858942065488E-2</v>
      </c>
      <c r="D89" s="209"/>
      <c r="E89" s="261">
        <f>E88*Exchange_Rate/Dashboard!G3</f>
        <v>7.3047858942065488E-2</v>
      </c>
      <c r="F89" s="209"/>
      <c r="H89" s="261">
        <f>H88*Exchange_Rate/Dashboard!G3</f>
        <v>7.3047858942065488E-2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3.5751921705337626</v>
      </c>
      <c r="H93" s="87" t="s">
        <v>196</v>
      </c>
      <c r="I93" s="144">
        <f>FV(H87,D93,0,-(H86/(C93-D94)))*Exchange_Rate</f>
        <v>4.3926449649575714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13.610425530520157</v>
      </c>
      <c r="H94" s="87" t="s">
        <v>197</v>
      </c>
      <c r="I94" s="144">
        <f>FV(H89,D93,0,-(H88/(C93-D94)))*Exchange_Rate</f>
        <v>13.610425530520157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17846.739245616074</v>
      </c>
      <c r="D97" s="213"/>
      <c r="E97" s="123">
        <f>PV(C94,D93,0,-F93)</f>
        <v>1.7775023714099829</v>
      </c>
      <c r="F97" s="213"/>
      <c r="H97" s="123">
        <f>PV(C94,D93,0,-I93)</f>
        <v>2.1839208830020764</v>
      </c>
      <c r="I97" s="123">
        <f>PV(C93,D93,0,-I93)</f>
        <v>2.9809250031496886</v>
      </c>
      <c r="K97" s="24"/>
    </row>
    <row r="98" spans="2:11" ht="15" customHeight="1" x14ac:dyDescent="0.4">
      <c r="B98" s="28" t="s">
        <v>140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77921.7</v>
      </c>
      <c r="D99" s="214"/>
      <c r="E99" s="145">
        <f>IF(H99&gt;0,H99*(1-C94),H99*(1+C94))</f>
        <v>8.1050438232968176</v>
      </c>
      <c r="F99" s="214"/>
      <c r="H99" s="145">
        <f>C99*Data!$C$4/Common_Shares</f>
        <v>9.5353456744668446</v>
      </c>
      <c r="I99" s="216"/>
      <c r="K99" s="24"/>
    </row>
    <row r="100" spans="2:11" ht="15" customHeight="1" thickTop="1" x14ac:dyDescent="0.4">
      <c r="B100" s="1" t="s">
        <v>112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55297.370354950872</v>
      </c>
      <c r="D103" s="109">
        <f>MIN(F103*(1-C94),E103)</f>
        <v>5.7517688915918308</v>
      </c>
      <c r="E103" s="123">
        <f>PV(C94,D93,0,-F94)</f>
        <v>6.766786931284507</v>
      </c>
      <c r="F103" s="109">
        <f>(E103+H103)/2</f>
        <v>6.766786931284507</v>
      </c>
      <c r="H103" s="123">
        <f>PV(C94,D93,0,-I94)</f>
        <v>6.766786931284507</v>
      </c>
      <c r="I103" s="109">
        <f>PV(C93,D93,0,-I94)</f>
        <v>9.2362706503930436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