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9A3616A-B7CF-411A-8AF4-5CC923B7981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E92" i="4"/>
  <c r="F97" i="4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D54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<sst xmlns="http://schemas.openxmlformats.org/spreadsheetml/2006/main" count="389" uniqueCount="274">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</sst>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230</v>
      </c>
    </row>
    <row r="10" spans="1:5" ht="13.9" x14ac:dyDescent="0.4">
      <c r="B10" s="140" t="s">
        <v>204</v>
      </c>
      <c r="C10" s="193">
        <v>677426000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211</v>
      </c>
      <c r="C17" s="242" t="s">
        <v>269</v>
      </c>
      <c r="D17" s="24"/>
    </row>
    <row r="18" spans="2:13" ht="13.9" x14ac:dyDescent="0.4">
      <c r="B18" s="240" t="s">
        <v>225</v>
      </c>
      <c r="C18" s="242" t="s">
        <v>231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270</v>
      </c>
      <c r="D20" s="24"/>
    </row>
    <row r="21" spans="2:13" ht="13.9" x14ac:dyDescent="0.4">
      <c r="B21" s="224" t="s">
        <v>218</v>
      </c>
      <c r="C21" s="242" t="s">
        <v>269</v>
      </c>
      <c r="D21" s="24"/>
    </row>
    <row r="22" spans="2:13" ht="78.75" x14ac:dyDescent="0.4">
      <c r="B22" s="226" t="s">
        <v>217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8.3713850837138518E-2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272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103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233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241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232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0116.HK</v>
      </c>
      <c r="D3" s="290"/>
      <c r="E3" s="87"/>
      <c r="F3" s="3" t="s">
        <v>1</v>
      </c>
      <c r="G3" s="132">
        <v>6.57</v>
      </c>
      <c r="H3" s="134" t="s">
        <v>273</v>
      </c>
    </row>
    <row r="4" spans="1:10" ht="15.75" customHeight="1" x14ac:dyDescent="0.4">
      <c r="B4" s="35" t="s">
        <v>182</v>
      </c>
      <c r="C4" s="291" t="str">
        <f>Inputs!C5</f>
        <v>周生生</v>
      </c>
      <c r="D4" s="292"/>
      <c r="E4" s="87"/>
      <c r="F4" s="3" t="s">
        <v>3</v>
      </c>
      <c r="G4" s="295">
        <f>Inputs!C10</f>
        <v>677426000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4450.6888200000003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5.5096042955320758E-2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5.1931891220120593E-3</v>
      </c>
      <c r="F24" s="140" t="s">
        <v>243</v>
      </c>
      <c r="G24" s="268">
        <f>G3/(Fin_Analysis!H86*G7)</f>
        <v>5.9426332499357093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0.49748071346493766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8.3713850837138518E-2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4.9860153900816364</v>
      </c>
      <c r="D29" s="129">
        <f>G29*(1+G20)</f>
        <v>10.582952467537757</v>
      </c>
      <c r="E29" s="87"/>
      <c r="F29" s="131">
        <f>IF(Fin_Analysis!C108="Profit",Fin_Analysis!F100,IF(Fin_Analysis!C108="Dividend",Fin_Analysis!F103,Fin_Analysis!F106))</f>
        <v>5.8659004589195725</v>
      </c>
      <c r="G29" s="286">
        <f>IF(Fin_Analysis!C108="Profit",Fin_Analysis!I100,IF(Fin_Analysis!C108="Dividend",Fin_Analysis!I103,Fin_Analysis!I106))</f>
        <v>9.2025673630763105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187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188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0.73600077942413045</v>
      </c>
      <c r="D40" s="156">
        <f t="shared" si="34"/>
        <v>0.76650749242859184</v>
      </c>
      <c r="E40" s="156">
        <f t="shared" si="34"/>
        <v>0.74730778437024314</v>
      </c>
      <c r="F40" s="156">
        <f t="shared" si="34"/>
        <v>0.72529316639307739</v>
      </c>
      <c r="G40" s="156">
        <f t="shared" si="34"/>
        <v>0.73063739715540388</v>
      </c>
      <c r="H40" s="156">
        <f t="shared" si="34"/>
        <v>0.75374615648274401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0.20890317762054877</v>
      </c>
      <c r="D41" s="153">
        <f t="shared" si="35"/>
        <v>0.23844898273283535</v>
      </c>
      <c r="E41" s="153">
        <f t="shared" si="35"/>
        <v>0.20789611070514921</v>
      </c>
      <c r="F41" s="153">
        <f t="shared" si="35"/>
        <v>0.2091527537747688</v>
      </c>
      <c r="G41" s="153">
        <f t="shared" si="35"/>
        <v>0.1956916313538179</v>
      </c>
      <c r="H41" s="153">
        <f t="shared" si="35"/>
        <v>0.18019017201750345</v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>
        <f t="shared" si="36"/>
        <v>0</v>
      </c>
      <c r="H42" s="153">
        <f t="shared" si="36"/>
        <v>0</v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5.1931891220120593E-3</v>
      </c>
      <c r="D43" s="153">
        <f t="shared" si="37"/>
        <v>4.1444030307908998E-3</v>
      </c>
      <c r="E43" s="153">
        <f t="shared" si="37"/>
        <v>2.7509192812171647E-3</v>
      </c>
      <c r="F43" s="153">
        <f t="shared" si="37"/>
        <v>5.0766322292434473E-3</v>
      </c>
      <c r="G43" s="153">
        <f t="shared" si="37"/>
        <v>5.0271123067556758E-3</v>
      </c>
      <c r="H43" s="153">
        <f t="shared" si="37"/>
        <v>1.9669428536394796E-3</v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0</v>
      </c>
      <c r="D44" s="153">
        <f t="shared" si="38"/>
        <v>0</v>
      </c>
      <c r="E44" s="153">
        <f t="shared" si="38"/>
        <v>0</v>
      </c>
      <c r="F44" s="153">
        <f t="shared" si="38"/>
        <v>0</v>
      </c>
      <c r="G44" s="153">
        <f t="shared" si="38"/>
        <v>0</v>
      </c>
      <c r="H44" s="153">
        <f t="shared" si="38"/>
        <v>0</v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>
        <f t="shared" si="39"/>
        <v>0</v>
      </c>
      <c r="H45" s="153">
        <f t="shared" si="39"/>
        <v>0</v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4.9902853833308697E-2</v>
      </c>
      <c r="D46" s="153">
        <f t="shared" si="40"/>
        <v>-9.1008781922180815E-3</v>
      </c>
      <c r="E46" s="153">
        <f t="shared" si="40"/>
        <v>4.204518564339043E-2</v>
      </c>
      <c r="F46" s="153">
        <f t="shared" si="40"/>
        <v>6.0477447602910371E-2</v>
      </c>
      <c r="G46" s="153">
        <f t="shared" si="40"/>
        <v>6.8643859184022576E-2</v>
      </c>
      <c r="H46" s="153">
        <f t="shared" si="40"/>
        <v>6.4096728646113099E-2</v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e">
        <f t="shared" si="41"/>
        <v>#VALUE!</v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e">
        <f t="shared" si="44"/>
        <v>#VALUE!</v>
      </c>
      <c r="G51" s="153" t="e">
        <f t="shared" si="44"/>
        <v>#VALUE!</v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0.10406597465064728</v>
      </c>
      <c r="D55" s="153">
        <f t="shared" si="47"/>
        <v>-0.4553849577214063</v>
      </c>
      <c r="E55" s="153">
        <f t="shared" si="47"/>
        <v>6.5427687834448023E-2</v>
      </c>
      <c r="F55" s="153">
        <f t="shared" si="47"/>
        <v>8.3942567526595541E-2</v>
      </c>
      <c r="G55" s="153">
        <f t="shared" si="47"/>
        <v>7.3234698143629109E-2</v>
      </c>
      <c r="H55" s="153">
        <f t="shared" si="47"/>
        <v>3.0687102059439617E-2</v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e">
        <f t="shared" si="49"/>
        <v>#VALUE!</v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e">
        <f t="shared" si="50"/>
        <v>#VALUE!</v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103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93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232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153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0.21034446303976831</v>
      </c>
      <c r="D87" s="209"/>
      <c r="E87" s="262">
        <f>E86*Exchange_Rate/Dashboard!G3</f>
        <v>0.1472411241278378</v>
      </c>
      <c r="F87" s="209"/>
      <c r="H87" s="262">
        <f>H86*Exchange_Rate/Dashboard!G3</f>
        <v>0.16827557043181463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208</v>
      </c>
      <c r="C89" s="261">
        <f>C88*Exchange_Rate/Dashboard!G3</f>
        <v>8.3713850837138518E-2</v>
      </c>
      <c r="D89" s="209"/>
      <c r="E89" s="261">
        <f>E88*Exchange_Rate/Dashboard!G3</f>
        <v>6.6971080669710817E-2</v>
      </c>
      <c r="F89" s="209"/>
      <c r="H89" s="261">
        <f>H88*Exchange_Rate/Dashboard!G3</f>
        <v>8.3713850837138518E-2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31.711462685899331</v>
      </c>
      <c r="H93" s="87" t="s">
        <v>196</v>
      </c>
      <c r="I93" s="144">
        <f>FV(H87,D93,0,-(H86/(C93-D94)))*Exchange_Rate</f>
        <v>39.688178391791119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10.036081210640805</v>
      </c>
      <c r="H94" s="87" t="s">
        <v>197</v>
      </c>
      <c r="I94" s="144">
        <f>FV(H89,D93,0,-(H88/(C93-D94)))*Exchange_Rate</f>
        <v>13.560760887774048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13366996.226391291</v>
      </c>
      <c r="D97" s="213"/>
      <c r="E97" s="123">
        <f>PV(C94,D93,0,-F93)</f>
        <v>15.766201489708969</v>
      </c>
      <c r="F97" s="213"/>
      <c r="H97" s="123">
        <f>PV(C94,D93,0,-I93)</f>
        <v>19.732038962766843</v>
      </c>
      <c r="I97" s="123">
        <f>PV(C93,D93,0,-I93)</f>
        <v>26.933085701520625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13366996.226391291</v>
      </c>
      <c r="D100" s="109">
        <f>MIN(F100*(1-C94),E100)</f>
        <v>15.086752192302219</v>
      </c>
      <c r="E100" s="109">
        <f>MAX(E97+H98+E99,0)</f>
        <v>15.766201489708969</v>
      </c>
      <c r="F100" s="109">
        <f>(E100+H100)/2</f>
        <v>17.749120226237906</v>
      </c>
      <c r="H100" s="109">
        <f>MAX(C100*Data!$C$4/Common_Shares,0)</f>
        <v>19.732038962766843</v>
      </c>
      <c r="I100" s="109">
        <f>MAX(I97+H98+H99,0)</f>
        <v>26.933085701520625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4567270.329831074</v>
      </c>
      <c r="D103" s="109">
        <f>MIN(F103*(1-C94),E103)</f>
        <v>4.9860153900816364</v>
      </c>
      <c r="E103" s="123">
        <f>PV(C94,D93,0,-F94)</f>
        <v>4.9897060914949041</v>
      </c>
      <c r="F103" s="109">
        <f>(E103+H103)/2</f>
        <v>5.8659004589195725</v>
      </c>
      <c r="H103" s="123">
        <f>PV(C94,D93,0,-I94)</f>
        <v>6.7420948263442408</v>
      </c>
      <c r="I103" s="109">
        <f>PV(C93,D93,0,-I94)</f>
        <v>9.2025673630763105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7030295.7245523073</v>
      </c>
      <c r="D106" s="109">
        <f>(D100+D103)/2</f>
        <v>10.036383791191927</v>
      </c>
      <c r="E106" s="123">
        <f>(E100+E103)/2</f>
        <v>10.377953790601936</v>
      </c>
      <c r="F106" s="109">
        <f>(F100+F103)/2</f>
        <v>11.807510342578739</v>
      </c>
      <c r="H106" s="123">
        <f>(H100+H103)/2</f>
        <v>13.237066894555543</v>
      </c>
      <c r="I106" s="123">
        <f>(I100+I103)/2</f>
        <v>18.067826532298469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