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C61BF29-7E17-4996-AD38-502708F519E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E95" i="4"/>
  <c r="F94" i="4"/>
  <c r="F93" i="4"/>
  <c r="E92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D44" i="4"/>
  <c r="C44" i="4"/>
  <c r="H32" i="4"/>
  <c r="G32" i="4"/>
  <c r="F32" i="4"/>
  <c r="E32" i="4"/>
  <c r="H31" i="4"/>
  <c r="G31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<sst xmlns="http://schemas.openxmlformats.org/spreadsheetml/2006/main" count="389" uniqueCount="274">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</sst>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264</v>
      </c>
    </row>
    <row r="5" spans="1:5" ht="13.9" x14ac:dyDescent="0.4">
      <c r="B5" s="141" t="s">
        <v>181</v>
      </c>
      <c r="C5" s="191" t="s">
        <v>265</v>
      </c>
    </row>
    <row r="6" spans="1:5" ht="13.9" x14ac:dyDescent="0.4">
      <c r="B6" s="141" t="s">
        <v>155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266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934412034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45565</v>
      </c>
    </row>
    <row r="15" spans="1:5" ht="13.9" x14ac:dyDescent="0.4">
      <c r="B15" s="218" t="s">
        <v>238</v>
      </c>
      <c r="C15" s="176" t="s">
        <v>176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3814213</v>
      </c>
      <c r="D25" s="149">
        <v>3646119</v>
      </c>
      <c r="E25" s="149">
        <v>3446055</v>
      </c>
      <c r="F25" s="149">
        <v>3156163</v>
      </c>
      <c r="G25" s="149">
        <v>3070485</v>
      </c>
      <c r="H25" s="149">
        <v>3280381</v>
      </c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2963493</v>
      </c>
      <c r="D26" s="150">
        <v>2930208</v>
      </c>
      <c r="E26" s="150">
        <v>2744148</v>
      </c>
      <c r="F26" s="150">
        <v>2432869</v>
      </c>
      <c r="G26" s="150">
        <v>2398222</v>
      </c>
      <c r="H26" s="150">
        <v>2528935</v>
      </c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541794</v>
      </c>
      <c r="D27" s="150">
        <v>556427</v>
      </c>
      <c r="E27" s="150">
        <v>543403</v>
      </c>
      <c r="F27" s="150">
        <v>467260</v>
      </c>
      <c r="G27" s="150">
        <v>452634</v>
      </c>
      <c r="H27" s="150">
        <v>486140</v>
      </c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31560</v>
      </c>
      <c r="D29" s="150">
        <v>21677</v>
      </c>
      <c r="E29" s="150">
        <v>20063</v>
      </c>
      <c r="F29" s="150">
        <v>13516</v>
      </c>
      <c r="G29" s="150">
        <v>19614</v>
      </c>
      <c r="H29" s="150">
        <v>18362</v>
      </c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3110</v>
      </c>
      <c r="D30" s="150">
        <v>3460</v>
      </c>
      <c r="E30" s="150">
        <v>5843</v>
      </c>
      <c r="F30" s="150">
        <v>7158</v>
      </c>
      <c r="G30" s="150">
        <v>6786</v>
      </c>
      <c r="H30" s="150">
        <v>8330</v>
      </c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-70259</v>
      </c>
      <c r="D31" s="150">
        <v>-27525</v>
      </c>
      <c r="E31" s="150">
        <v>233698</v>
      </c>
      <c r="F31" s="150">
        <v>42431</v>
      </c>
      <c r="G31" s="150">
        <f>-81917</f>
        <v>-81917</v>
      </c>
      <c r="H31" s="150">
        <f>-17970</f>
        <v>-17970</v>
      </c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274900</v>
      </c>
      <c r="D32" s="150">
        <v>274200</v>
      </c>
      <c r="E32" s="150">
        <f>248096+35189</f>
        <v>283285</v>
      </c>
      <c r="F32" s="150">
        <f>219704+31327</f>
        <v>251031</v>
      </c>
      <c r="G32" s="150">
        <f>203765+41376</f>
        <v>245141</v>
      </c>
      <c r="H32" s="150">
        <f>162220+42152</f>
        <v>204372</v>
      </c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184900</v>
      </c>
      <c r="D33" s="150">
        <v>226600</v>
      </c>
      <c r="E33" s="150">
        <v>316400</v>
      </c>
      <c r="F33" s="150">
        <v>263600</v>
      </c>
      <c r="G33" s="150">
        <v>282100</v>
      </c>
      <c r="H33" s="150">
        <v>391400</v>
      </c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5.692430456925867E-2</v>
      </c>
      <c r="D45" s="152">
        <f>IF(D44="","",D44*Exchange_Rate/Dashboard!$G$3)</f>
        <v>4.7606771340530915E-2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45382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3.9" x14ac:dyDescent="0.4">
      <c r="B92" s="104" t="s">
        <v>102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3.9" x14ac:dyDescent="0.4">
      <c r="B93" s="104" t="s">
        <v>231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3.9" x14ac:dyDescent="0.4">
      <c r="B94" s="104" t="s">
        <v>239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3.9" x14ac:dyDescent="0.4">
      <c r="B95" s="28" t="s">
        <v>230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F91*D95*0.8</f>
        <v>72000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3.9" x14ac:dyDescent="0.4">
      <c r="B98" s="86" t="s">
        <v>193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0179.HK</v>
      </c>
      <c r="D3" s="290"/>
      <c r="E3" s="87"/>
      <c r="F3" s="3" t="s">
        <v>1</v>
      </c>
      <c r="G3" s="132">
        <v>10.68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德昌電機</v>
      </c>
      <c r="D4" s="292"/>
      <c r="E4" s="87"/>
      <c r="F4" s="3" t="s">
        <v>2</v>
      </c>
      <c r="G4" s="295">
        <f>Inputs!C10</f>
        <v>934412034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9979.5205231199998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7.7743167877197266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HK</v>
      </c>
      <c r="F16" s="110" t="s">
        <v>166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256</v>
      </c>
      <c r="C23" s="282">
        <f>Data!C13</f>
        <v>7.9906217438127689E-2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8.274315042185636E-3</v>
      </c>
      <c r="F24" s="140" t="s">
        <v>241</v>
      </c>
      <c r="G24" s="268">
        <f>G3/(Fin_Analysis!H86*G7)</f>
        <v>8.5058255864187196</v>
      </c>
    </row>
    <row r="25" spans="1:8" ht="15.75" customHeight="1" x14ac:dyDescent="0.4">
      <c r="B25" s="137" t="s">
        <v>258</v>
      </c>
      <c r="C25" s="171">
        <f>Fin_Analysis!I80</f>
        <v>0</v>
      </c>
      <c r="F25" s="140" t="s">
        <v>162</v>
      </c>
      <c r="G25" s="171">
        <f>Fin_Analysis!I88</f>
        <v>0.48418820629429243</v>
      </c>
    </row>
    <row r="26" spans="1:8" ht="15.75" customHeight="1" x14ac:dyDescent="0.4">
      <c r="B26" s="138" t="s">
        <v>259</v>
      </c>
      <c r="C26" s="171">
        <f>Fin_Analysis!I80+Fin_Analysis!I82</f>
        <v>1.8876764354796127E-2</v>
      </c>
      <c r="F26" s="141" t="s">
        <v>179</v>
      </c>
      <c r="G26" s="178">
        <f>Fin_Analysis!H88*Exchange_Rate/G3</f>
        <v>5.692430456925867E-2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9.9221362093216836</v>
      </c>
      <c r="D29" s="129">
        <f>G29*(1+G20)</f>
        <v>19.249379654437831</v>
      </c>
      <c r="E29" s="87"/>
      <c r="F29" s="131">
        <f>IF(Fin_Analysis!C108="Profit",Fin_Analysis!F100,IF(Fin_Analysis!C108="Dividend",Fin_Analysis!F103,Fin_Analysis!F106))</f>
        <v>11.673101422731392</v>
      </c>
      <c r="G29" s="286">
        <f>IF(Fin_Analysis!C108="Profit",Fin_Analysis!I100,IF(Fin_Analysis!C108="Dividend",Fin_Analysis!I103,Fin_Analysis!I106))</f>
        <v>16.738591003858986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186</v>
      </c>
      <c r="F3" s="85">
        <f>H14</f>
        <v>254199.33333333334</v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187</v>
      </c>
      <c r="F4" s="93">
        <f>(G3/F3)^(1/H3)-1</f>
        <v>3.0706902789447099E-2</v>
      </c>
      <c r="J4" s="87"/>
    </row>
    <row r="5" spans="1:14" ht="15.75" customHeight="1" x14ac:dyDescent="0.4">
      <c r="A5" s="16"/>
      <c r="B5" s="115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>
        <f>IF(Inputs!E25="","",Inputs!E25)</f>
        <v>3446055</v>
      </c>
      <c r="F6" s="200">
        <f>IF(Inputs!F25="","",Inputs!F25)</f>
        <v>3156163</v>
      </c>
      <c r="G6" s="200">
        <f>IF(Inputs!G25="","",Inputs!G25)</f>
        <v>3070485</v>
      </c>
      <c r="H6" s="200">
        <f>IF(Inputs!H25="","",Inputs!H25)</f>
        <v>3280381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>
        <f t="shared" si="1"/>
        <v>5.8055950935199885E-2</v>
      </c>
      <c r="E7" s="92">
        <f t="shared" si="1"/>
        <v>9.1849502069443201E-2</v>
      </c>
      <c r="F7" s="92">
        <f t="shared" si="1"/>
        <v>2.7903735077683178E-2</v>
      </c>
      <c r="G7" s="92">
        <f t="shared" si="1"/>
        <v>-6.3985250493768908E-2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2963493</v>
      </c>
      <c r="D8" s="199">
        <f>IF(Inputs!D26="","",Inputs!D26)</f>
        <v>2930208</v>
      </c>
      <c r="E8" s="199">
        <f>IF(Inputs!E26="","",Inputs!E26)</f>
        <v>2744148</v>
      </c>
      <c r="F8" s="199">
        <f>IF(Inputs!F26="","",Inputs!F26)</f>
        <v>2432869</v>
      </c>
      <c r="G8" s="199">
        <f>IF(Inputs!G26="","",Inputs!G26)</f>
        <v>2398222</v>
      </c>
      <c r="H8" s="199">
        <f>IF(Inputs!H26="","",Inputs!H26)</f>
        <v>2528935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850720</v>
      </c>
      <c r="D9" s="151">
        <f t="shared" si="2"/>
        <v>715911</v>
      </c>
      <c r="E9" s="151">
        <f t="shared" si="2"/>
        <v>701907</v>
      </c>
      <c r="F9" s="151">
        <f t="shared" si="2"/>
        <v>723294</v>
      </c>
      <c r="G9" s="151">
        <f t="shared" si="2"/>
        <v>672263</v>
      </c>
      <c r="H9" s="151">
        <f t="shared" si="2"/>
        <v>751446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541794</v>
      </c>
      <c r="D10" s="199">
        <f>IF(Inputs!D27="","",Inputs!D27)</f>
        <v>556427</v>
      </c>
      <c r="E10" s="199">
        <f>IF(Inputs!E27="","",Inputs!E27)</f>
        <v>543403</v>
      </c>
      <c r="F10" s="199">
        <f>IF(Inputs!F27="","",Inputs!F27)</f>
        <v>467260</v>
      </c>
      <c r="G10" s="199">
        <f>IF(Inputs!G27="","",Inputs!G27)</f>
        <v>452634</v>
      </c>
      <c r="H10" s="199">
        <f>IF(Inputs!H27="","",Inputs!H27)</f>
        <v>486140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>
        <f>IF(Inputs!E30="","",MAX(Inputs!E30,0)/(1-Fin_Analysis!$I$84))</f>
        <v>7790.666666666667</v>
      </c>
      <c r="F12" s="199">
        <f>IF(Inputs!F30="","",MAX(Inputs!F30,0)/(1-Fin_Analysis!$I$84))</f>
        <v>9544</v>
      </c>
      <c r="G12" s="199">
        <f>IF(Inputs!G30="","",MAX(Inputs!G30,0)/(1-Fin_Analysis!$I$84))</f>
        <v>9048</v>
      </c>
      <c r="H12" s="199">
        <f>IF(Inputs!H30="","",MAX(Inputs!H30,0)/(1-Fin_Analysis!$I$84))</f>
        <v>11106.666666666666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>
        <f t="shared" si="3"/>
        <v>4.3735034215453134E-2</v>
      </c>
      <c r="F13" s="229">
        <f t="shared" si="3"/>
        <v>7.8097994305110358E-2</v>
      </c>
      <c r="G13" s="229">
        <f t="shared" si="3"/>
        <v>6.858232494215083E-2</v>
      </c>
      <c r="H13" s="229">
        <f t="shared" si="3"/>
        <v>7.749079553055982E-2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>
        <f t="shared" si="4"/>
        <v>150713.33333333334</v>
      </c>
      <c r="F14" s="230">
        <f t="shared" si="4"/>
        <v>246490</v>
      </c>
      <c r="G14" s="230">
        <f t="shared" si="4"/>
        <v>210581</v>
      </c>
      <c r="H14" s="230">
        <f t="shared" si="4"/>
        <v>254199.33333333334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0.96796036262515817</v>
      </c>
      <c r="D15" s="232">
        <f t="shared" ref="D15:M15" si="5">IF(E14="","",IF(ABS(D14+E14)=ABS(D14)+ABS(E14),IF(D14&lt;0,-1,1)*(D14-E14)/E14,"Turn"))</f>
        <v>2.7584376520546603E-2</v>
      </c>
      <c r="E15" s="232">
        <f t="shared" si="5"/>
        <v>-0.38856207824522965</v>
      </c>
      <c r="F15" s="232">
        <f t="shared" si="5"/>
        <v>0.17052345653216577</v>
      </c>
      <c r="G15" s="232">
        <f t="shared" si="5"/>
        <v>-0.17159106108329686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-70259</v>
      </c>
      <c r="D16" s="199">
        <f>IF(Inputs!D31="","",Inputs!D31)</f>
        <v>-27525</v>
      </c>
      <c r="E16" s="199">
        <f>IF(Inputs!E31="","",Inputs!E31)</f>
        <v>233698</v>
      </c>
      <c r="F16" s="199">
        <f>IF(Inputs!F31="","",Inputs!F31)</f>
        <v>42431</v>
      </c>
      <c r="G16" s="199">
        <f>IF(Inputs!G31="","",Inputs!G31)</f>
        <v>-81917</v>
      </c>
      <c r="H16" s="199">
        <f>IF(Inputs!H31="","",Inputs!H31)</f>
        <v>-17970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31560</v>
      </c>
      <c r="D17" s="199">
        <f>IF(Inputs!D29="","",Inputs!D29)</f>
        <v>21677</v>
      </c>
      <c r="E17" s="199">
        <f>IF(Inputs!E29="","",Inputs!E29)</f>
        <v>20063</v>
      </c>
      <c r="F17" s="199">
        <f>IF(Inputs!F29="","",Inputs!F29)</f>
        <v>13516</v>
      </c>
      <c r="G17" s="199">
        <f>IF(Inputs!G29="","",Inputs!G29)</f>
        <v>19614</v>
      </c>
      <c r="H17" s="199">
        <f>IF(Inputs!H29="","",Inputs!H29)</f>
        <v>18362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>
        <f t="shared" si="6"/>
        <v>8.2205594513146185E-2</v>
      </c>
      <c r="F18" s="152">
        <f t="shared" si="6"/>
        <v>7.953676663721107E-2</v>
      </c>
      <c r="G18" s="152">
        <f t="shared" si="6"/>
        <v>7.983787577532539E-2</v>
      </c>
      <c r="H18" s="152">
        <f t="shared" si="6"/>
        <v>6.2301299757558652E-2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274900</v>
      </c>
      <c r="D19" s="199">
        <f>IF(Inputs!D32="","",Inputs!D32)</f>
        <v>274200</v>
      </c>
      <c r="E19" s="199">
        <f>IF(Inputs!E32="","",Inputs!E32)</f>
        <v>283285</v>
      </c>
      <c r="F19" s="199">
        <f>IF(Inputs!F32="","",Inputs!F32)</f>
        <v>251031</v>
      </c>
      <c r="G19" s="199">
        <f>IF(Inputs!G32="","",Inputs!G32)</f>
        <v>245141</v>
      </c>
      <c r="H19" s="199">
        <f>IF(Inputs!H32="","",Inputs!H32)</f>
        <v>204372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>
        <f t="shared" si="7"/>
        <v>9.1815133536754343E-2</v>
      </c>
      <c r="F20" s="152">
        <f t="shared" si="7"/>
        <v>8.3519133834342521E-2</v>
      </c>
      <c r="G20" s="152">
        <f t="shared" si="7"/>
        <v>9.1874736401578255E-2</v>
      </c>
      <c r="H20" s="152">
        <f t="shared" si="7"/>
        <v>0.11931540878940586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184900</v>
      </c>
      <c r="D21" s="199">
        <f>IF(Inputs!D33="","",Inputs!D33)</f>
        <v>226600</v>
      </c>
      <c r="E21" s="199">
        <f>IF(Inputs!E33="","",Inputs!E33)</f>
        <v>316400</v>
      </c>
      <c r="F21" s="199">
        <f>IF(Inputs!F33="","",Inputs!F33)</f>
        <v>263600</v>
      </c>
      <c r="G21" s="199">
        <f>IF(Inputs!G33="","",Inputs!G33)</f>
        <v>282100</v>
      </c>
      <c r="H21" s="199">
        <f>IF(Inputs!H33="","",Inputs!H33)</f>
        <v>391400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>
        <f t="shared" si="8"/>
        <v>-136162.66666666666</v>
      </c>
      <c r="F22" s="161">
        <f t="shared" si="8"/>
        <v>177974</v>
      </c>
      <c r="G22" s="161">
        <f t="shared" si="8"/>
        <v>154008</v>
      </c>
      <c r="H22" s="161">
        <f t="shared" si="8"/>
        <v>48809.333333333343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>
        <f t="shared" si="9"/>
        <v>-2.9634466077877456E-2</v>
      </c>
      <c r="F23" s="153">
        <f t="shared" si="9"/>
        <v>4.2292017237386029E-2</v>
      </c>
      <c r="G23" s="153">
        <f t="shared" si="9"/>
        <v>3.7618161300250613E-2</v>
      </c>
      <c r="H23" s="153">
        <f t="shared" si="9"/>
        <v>1.1159374475099083E-2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>
        <f>IF(E6="","",E22*(1-Fin_Analysis!$I$84))</f>
        <v>-102122</v>
      </c>
      <c r="F24" s="77">
        <f>IF(F6="","",F22*(1-Fin_Analysis!$I$84))</f>
        <v>133480.5</v>
      </c>
      <c r="G24" s="77">
        <f>IF(G6="","",G22*(1-Fin_Analysis!$I$84))</f>
        <v>115506</v>
      </c>
      <c r="H24" s="77">
        <f>IF(H6="","",H22*(1-Fin_Analysis!$I$84))</f>
        <v>36607.000000000007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0.15561529271206689</v>
      </c>
      <c r="G25" s="233">
        <f t="shared" si="10"/>
        <v>2.1552981670172366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0.77696054205677556</v>
      </c>
      <c r="D40" s="156">
        <f t="shared" si="34"/>
        <v>0.80365122476803419</v>
      </c>
      <c r="E40" s="156">
        <f t="shared" si="34"/>
        <v>0.79631578718273499</v>
      </c>
      <c r="F40" s="156">
        <f t="shared" si="34"/>
        <v>0.77083122766473089</v>
      </c>
      <c r="G40" s="156">
        <f t="shared" si="34"/>
        <v>0.7810564129119667</v>
      </c>
      <c r="H40" s="156">
        <f t="shared" si="34"/>
        <v>0.77092721851516632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0.14204607870614464</v>
      </c>
      <c r="D41" s="153">
        <f t="shared" si="35"/>
        <v>0.15260801965048315</v>
      </c>
      <c r="E41" s="153">
        <f t="shared" si="35"/>
        <v>0.15768842923284743</v>
      </c>
      <c r="F41" s="153">
        <f t="shared" si="35"/>
        <v>0.14804685309345555</v>
      </c>
      <c r="G41" s="153">
        <f t="shared" si="35"/>
        <v>0.14741449640691942</v>
      </c>
      <c r="H41" s="153">
        <f t="shared" si="35"/>
        <v>0.14819620038038264</v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6.7816096957245317E-2</v>
      </c>
      <c r="F42" s="153">
        <f t="shared" si="36"/>
        <v>1.344385571974578E-2</v>
      </c>
      <c r="G42" s="153">
        <f t="shared" si="36"/>
        <v>0</v>
      </c>
      <c r="H42" s="153">
        <f t="shared" si="36"/>
        <v>0</v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8.274315042185636E-3</v>
      </c>
      <c r="D43" s="153">
        <f t="shared" si="37"/>
        <v>5.9452255946665479E-3</v>
      </c>
      <c r="E43" s="153">
        <f t="shared" si="37"/>
        <v>5.8220196717696029E-3</v>
      </c>
      <c r="F43" s="153">
        <f t="shared" si="37"/>
        <v>4.2824150717184128E-3</v>
      </c>
      <c r="G43" s="153">
        <f t="shared" si="37"/>
        <v>6.387915915563828E-3</v>
      </c>
      <c r="H43" s="153">
        <f t="shared" si="37"/>
        <v>5.5975205319138237E-3</v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1.0871617989521474E-3</v>
      </c>
      <c r="D44" s="153">
        <f t="shared" si="38"/>
        <v>1.2652722890649846E-3</v>
      </c>
      <c r="E44" s="153">
        <f t="shared" si="38"/>
        <v>2.2607493689644148E-3</v>
      </c>
      <c r="F44" s="153">
        <f t="shared" si="38"/>
        <v>3.0239249367032058E-3</v>
      </c>
      <c r="G44" s="153">
        <f t="shared" si="38"/>
        <v>2.9467657389630627E-3</v>
      </c>
      <c r="H44" s="153">
        <f t="shared" si="38"/>
        <v>3.3857855738911626E-3</v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2.3595955443495159E-2</v>
      </c>
      <c r="D45" s="153">
        <f t="shared" si="39"/>
        <v>1.3054977086595363E-2</v>
      </c>
      <c r="E45" s="153">
        <f t="shared" si="39"/>
        <v>9.6095390236081556E-3</v>
      </c>
      <c r="F45" s="153">
        <f t="shared" si="39"/>
        <v>3.9823671971314532E-3</v>
      </c>
      <c r="G45" s="153">
        <f t="shared" si="39"/>
        <v>1.2036860626252855E-2</v>
      </c>
      <c r="H45" s="153">
        <f t="shared" si="39"/>
        <v>5.7014109031847213E-2</v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4.8035946952446888E-2</v>
      </c>
      <c r="D46" s="153">
        <f t="shared" si="40"/>
        <v>2.347528061115577E-2</v>
      </c>
      <c r="E46" s="153">
        <f t="shared" si="40"/>
        <v>-3.9512621437169937E-2</v>
      </c>
      <c r="F46" s="153">
        <f t="shared" si="40"/>
        <v>5.6389356316514705E-2</v>
      </c>
      <c r="G46" s="153">
        <f t="shared" si="40"/>
        <v>5.0157548400334151E-2</v>
      </c>
      <c r="H46" s="153">
        <f t="shared" si="40"/>
        <v>1.4879165966798778E-2</v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e">
        <f t="shared" si="41"/>
        <v>#VALUE!</v>
      </c>
      <c r="H48" s="272" t="e">
        <f t="shared" si="41"/>
        <v>#VALUE!</v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>
        <f t="shared" ref="C51:M51" si="44">IF(D6="","",C16/(C6-D6))</f>
        <v>-0.41797446666745985</v>
      </c>
      <c r="D51" s="153">
        <f t="shared" si="44"/>
        <v>-0.13758097408829176</v>
      </c>
      <c r="E51" s="153">
        <f t="shared" si="44"/>
        <v>0.80615539580257478</v>
      </c>
      <c r="F51" s="153">
        <f t="shared" si="44"/>
        <v>0.4952379840799272</v>
      </c>
      <c r="G51" s="153">
        <f t="shared" si="44"/>
        <v>0.39027423104775699</v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0.17225256432181468</v>
      </c>
      <c r="D55" s="153">
        <f t="shared" si="47"/>
        <v>0.25325471900179536</v>
      </c>
      <c r="E55" s="153">
        <f t="shared" si="47"/>
        <v>-0.14734582166428389</v>
      </c>
      <c r="F55" s="153">
        <f t="shared" si="47"/>
        <v>7.5943677166327661E-2</v>
      </c>
      <c r="G55" s="153">
        <f t="shared" si="47"/>
        <v>0.12735702041452393</v>
      </c>
      <c r="H55" s="153">
        <f t="shared" si="47"/>
        <v>0.37619854126259999</v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e">
        <f t="shared" si="49"/>
        <v>#VALUE!</v>
      </c>
      <c r="H58" s="274" t="e">
        <f t="shared" si="49"/>
        <v>#VALUE!</v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e">
        <f t="shared" si="50"/>
        <v>#VALUE!</v>
      </c>
      <c r="H59" s="274" t="e">
        <f t="shared" si="50"/>
        <v>#VALUE!</v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45382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4">
      <c r="B75" s="104" t="s">
        <v>102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4">
      <c r="B76" s="35" t="s">
        <v>92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4">
      <c r="B78" s="73" t="s">
        <v>161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4">
      <c r="B79" s="256" t="s">
        <v>218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239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72000</v>
      </c>
      <c r="I82" s="160">
        <f>H82/$H$74</f>
        <v>1.8876764354796127E-2</v>
      </c>
      <c r="K82" s="24"/>
    </row>
    <row r="83" spans="1:11" ht="15" customHeight="1" thickBot="1" x14ac:dyDescent="0.45">
      <c r="B83" s="105" t="s">
        <v>120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201219.33333333331</v>
      </c>
      <c r="I83" s="164">
        <f>H83/$H$74</f>
        <v>5.275513804114592E-2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150914.5</v>
      </c>
      <c r="I85" s="258">
        <f>H85/$H$74</f>
        <v>3.9566353530859445E-2</v>
      </c>
      <c r="K85" s="24"/>
    </row>
    <row r="86" spans="1:11" ht="15" customHeight="1" x14ac:dyDescent="0.4">
      <c r="B86" s="87" t="s">
        <v>152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0.1615074447981692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0.10704961743914704</v>
      </c>
      <c r="D87" s="209"/>
      <c r="E87" s="262">
        <f>E86*Exchange_Rate/Dashboard!G3</f>
        <v>0.10704961743914704</v>
      </c>
      <c r="F87" s="209"/>
      <c r="H87" s="262">
        <f>H86*Exchange_Rate/Dashboard!G3</f>
        <v>0.11756648309327003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0.48418820629429243</v>
      </c>
      <c r="K88" s="24"/>
    </row>
    <row r="89" spans="1:11" ht="15" customHeight="1" x14ac:dyDescent="0.4">
      <c r="B89" s="87" t="s">
        <v>207</v>
      </c>
      <c r="C89" s="261">
        <f>C88*Exchange_Rate/Dashboard!G3</f>
        <v>5.692430456925867E-2</v>
      </c>
      <c r="D89" s="209"/>
      <c r="E89" s="261">
        <f>E88*Exchange_Rate/Dashboard!G3</f>
        <v>5.692430456925867E-2</v>
      </c>
      <c r="F89" s="209"/>
      <c r="H89" s="261">
        <f>H88*Exchange_Rate/Dashboard!G3</f>
        <v>5.692430456925867E-2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195</v>
      </c>
      <c r="F93" s="144">
        <f>FV(E87,D93,0,-(E86/(C93-D94)))*Exchange_Rate</f>
        <v>31.357400408946976</v>
      </c>
      <c r="H93" s="87" t="s">
        <v>195</v>
      </c>
      <c r="I93" s="144">
        <f>FV(H87,D93,0,-(H86/(C93-D94)))*Exchange_Rate</f>
        <v>36.105209542744305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13.22624791820887</v>
      </c>
      <c r="H94" s="87" t="s">
        <v>196</v>
      </c>
      <c r="I94" s="144">
        <f>FV(H89,D93,0,-(H88/(C93-D94)))*Exchange_Rate</f>
        <v>13.22624791820887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16773322.260460975</v>
      </c>
      <c r="D97" s="213"/>
      <c r="E97" s="123">
        <f>PV(C94,D93,0,-F93)</f>
        <v>15.590169962761518</v>
      </c>
      <c r="F97" s="213"/>
      <c r="H97" s="123">
        <f>PV(C94,D93,0,-I93)</f>
        <v>17.950670207722276</v>
      </c>
      <c r="I97" s="123">
        <f>PV(C93,D93,0,-I93)</f>
        <v>24.501620943308993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16773322.260460975</v>
      </c>
      <c r="D100" s="109">
        <f>MIN(F100*(1-C94),E100)</f>
        <v>14.254857072455611</v>
      </c>
      <c r="E100" s="109">
        <f>MAX(E97+H98+E99,0)</f>
        <v>15.590169962761518</v>
      </c>
      <c r="F100" s="109">
        <f>(E100+H100)/2</f>
        <v>16.770420085241895</v>
      </c>
      <c r="H100" s="109">
        <f>MAX(C100*Data!$C$4/Common_Shares,0)</f>
        <v>17.950670207722276</v>
      </c>
      <c r="I100" s="109">
        <f>MAX(I97+H98+H99,0)</f>
        <v>24.501620943308993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6144490.5441201357</v>
      </c>
      <c r="D103" s="109">
        <f>MIN(F103*(1-C94),E103)</f>
        <v>5.5894153461877556</v>
      </c>
      <c r="E103" s="123">
        <f>PV(C94,D93,0,-F94)</f>
        <v>6.5757827602208891</v>
      </c>
      <c r="F103" s="109">
        <f>(E103+H103)/2</f>
        <v>6.5757827602208891</v>
      </c>
      <c r="H103" s="123">
        <f>PV(C94,D93,0,-I94)</f>
        <v>6.5757827602208891</v>
      </c>
      <c r="I103" s="109">
        <f>PV(C93,D93,0,-I94)</f>
        <v>8.975561064408982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10356066.484714914</v>
      </c>
      <c r="D106" s="109">
        <f>(D100+D103)/2</f>
        <v>9.9221362093216836</v>
      </c>
      <c r="E106" s="123">
        <f>(E100+E103)/2</f>
        <v>11.082976361491204</v>
      </c>
      <c r="F106" s="109">
        <f>(F100+F103)/2</f>
        <v>11.673101422731392</v>
      </c>
      <c r="H106" s="123">
        <f>(H100+H103)/2</f>
        <v>12.263226483971582</v>
      </c>
      <c r="I106" s="123">
        <f>(I100+I103)/2</f>
        <v>16.738591003858986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