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41E934-E278-43AC-9730-6F444DC622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6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<sst xmlns="http://schemas.openxmlformats.org/spreadsheetml/2006/main" count="389" uniqueCount="272">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</sst>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4319334000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6.0672456392629893E-2</v>
      </c>
      <c r="D45" s="152">
        <f>IF(D44="","",D44*Exchange_Rate/Dashboard!$G$3)</f>
        <v>4.8523672427085635E-2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102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231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240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230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0220.HK</v>
      </c>
      <c r="D3" s="290"/>
      <c r="E3" s="87"/>
      <c r="F3" s="3" t="s">
        <v>1</v>
      </c>
      <c r="G3" s="132">
        <v>7.48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统一中国</v>
      </c>
      <c r="D4" s="292"/>
      <c r="E4" s="87"/>
      <c r="F4" s="3" t="s">
        <v>2</v>
      </c>
      <c r="G4" s="295">
        <f>Inputs!C10</f>
        <v>4319334000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32308.618320000001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4.7844427762585302E-2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2.0677989446499247E-3</v>
      </c>
      <c r="F24" s="140" t="s">
        <v>243</v>
      </c>
      <c r="G24" s="268">
        <f>G3/(Fin_Analysis!H86*G7)</f>
        <v>31.450785052024994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1.9081963845829624</v>
      </c>
    </row>
    <row r="26" spans="1:8" ht="15.75" customHeight="1" x14ac:dyDescent="0.4">
      <c r="B26" s="138" t="s">
        <v>262</v>
      </c>
      <c r="C26" s="171">
        <f>Fin_Analysis!I80+Fin_Analysis!I82</f>
        <v>9.6644881579416319E-4</v>
      </c>
      <c r="F26" s="141" t="s">
        <v>179</v>
      </c>
      <c r="G26" s="178">
        <f>Fin_Analysis!H88*Exchange_Rate/G3</f>
        <v>6.0672456392629893E-2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1.7741181345926156</v>
      </c>
      <c r="D29" s="129">
        <f>G29*(1+G20)</f>
        <v>3.192285345827655</v>
      </c>
      <c r="E29" s="87"/>
      <c r="F29" s="131">
        <f>IF(Fin_Analysis!C108="Profit",Fin_Analysis!F100,IF(Fin_Analysis!C108="Dividend",Fin_Analysis!F103,Fin_Analysis!F106))</f>
        <v>2.0871978054030773</v>
      </c>
      <c r="G29" s="286">
        <f>IF(Fin_Analysis!C108="Profit",Fin_Analysis!I100,IF(Fin_Analysis!C108="Dividend",Fin_Analysis!I103,Fin_Analysis!I106))</f>
        <v>2.7759003007197003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0.69530102386843873</v>
      </c>
      <c r="D40" s="156">
        <f t="shared" si="34"/>
        <v>0.71023846045174943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0.25685454836897598</v>
      </c>
      <c r="D41" s="153">
        <f t="shared" si="35"/>
        <v>0.24516106063707416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2.882077182385151E-2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2.0677989446499247E-3</v>
      </c>
      <c r="D43" s="153">
        <f t="shared" si="37"/>
        <v>2.1419497709487543E-3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9.6644881579416319E-4</v>
      </c>
      <c r="D45" s="153">
        <f t="shared" si="39"/>
        <v>2.0169596444574299E-2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4.4810180002141216E-2</v>
      </c>
      <c r="D46" s="153">
        <f t="shared" si="40"/>
        <v>-6.5318391281982031E-3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-1.9819763418893539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4.6145740645342576E-2</v>
      </c>
      <c r="D55" s="153">
        <f t="shared" si="47"/>
        <v>-0.32792445265558884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92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120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152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3.1795708703163637E-2</v>
      </c>
      <c r="D87" s="209"/>
      <c r="E87" s="262">
        <f>E86*Exchange_Rate/Dashboard!G3</f>
        <v>3.1795708703163637E-2</v>
      </c>
      <c r="F87" s="209"/>
      <c r="H87" s="262">
        <f>H86*Exchange_Rate/Dashboard!G3</f>
        <v>3.1795708703163637E-2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207</v>
      </c>
      <c r="C89" s="261">
        <f>C88*Exchange_Rate/Dashboard!G3</f>
        <v>6.0672456392629893E-2</v>
      </c>
      <c r="D89" s="209"/>
      <c r="E89" s="261">
        <f>E88*Exchange_Rate/Dashboard!G3</f>
        <v>6.0672456392629893E-2</v>
      </c>
      <c r="F89" s="209"/>
      <c r="H89" s="261">
        <f>H88*Exchange_Rate/Dashboard!G3</f>
        <v>6.0672456392629893E-2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4.1981003076317043</v>
      </c>
      <c r="H93" s="87" t="s">
        <v>195</v>
      </c>
      <c r="I93" s="144">
        <f>FV(H87,D93,0,-(H86/(C93-D94)))*Exchange_Rate</f>
        <v>4.1981003076317043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9.1963131120558721</v>
      </c>
      <c r="H94" s="87" t="s">
        <v>196</v>
      </c>
      <c r="I94" s="144">
        <f>FV(H89,D93,0,-(H88/(C93-D94)))*Exchange_Rate</f>
        <v>9.1963131120558721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9015304.4456028957</v>
      </c>
      <c r="D97" s="213"/>
      <c r="E97" s="123">
        <f>PV(C94,D93,0,-F93)</f>
        <v>2.0871978054030773</v>
      </c>
      <c r="F97" s="213"/>
      <c r="H97" s="123">
        <f>PV(C94,D93,0,-I93)</f>
        <v>2.0871978054030773</v>
      </c>
      <c r="I97" s="123">
        <f>PV(C93,D93,0,-I93)</f>
        <v>2.7759003007197003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9015304.4456028957</v>
      </c>
      <c r="D100" s="109">
        <f>MIN(F100*(1-C94),E100)</f>
        <v>1.7741181345926156</v>
      </c>
      <c r="E100" s="109">
        <f>MAX(E97+H98+E99,0)</f>
        <v>2.0871978054030773</v>
      </c>
      <c r="F100" s="109">
        <f>(E100+H100)/2</f>
        <v>2.0871978054030773</v>
      </c>
      <c r="H100" s="109">
        <f>MAX(C100*Data!$C$4/Common_Shares,0)</f>
        <v>2.0871978054030773</v>
      </c>
      <c r="I100" s="109">
        <f>MAX(I97+H98+H99,0)</f>
        <v>2.7759003007197003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19748828.376386408</v>
      </c>
      <c r="D103" s="109">
        <f>MIN(F103*(1-C94),E103)</f>
        <v>3.8863639903578755</v>
      </c>
      <c r="E103" s="123">
        <f>PV(C94,D93,0,-F94)</f>
        <v>4.572192929832795</v>
      </c>
      <c r="F103" s="109">
        <f>(E103+H103)/2</f>
        <v>4.572192929832795</v>
      </c>
      <c r="H103" s="123">
        <f>PV(C94,D93,0,-I94)</f>
        <v>4.572192929832795</v>
      </c>
      <c r="I103" s="109">
        <f>PV(C93,D93,0,-I94)</f>
        <v>6.080857164575395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14382066.410994651</v>
      </c>
      <c r="D106" s="109">
        <f>(D100+D103)/2</f>
        <v>2.8302410624752454</v>
      </c>
      <c r="E106" s="123">
        <f>(E100+E103)/2</f>
        <v>3.3296953676179362</v>
      </c>
      <c r="F106" s="109">
        <f>(F100+F103)/2</f>
        <v>3.3296953676179362</v>
      </c>
      <c r="H106" s="123">
        <f>(H100+H103)/2</f>
        <v>3.3296953676179362</v>
      </c>
      <c r="I106" s="123">
        <f>(I100+I103)/2</f>
        <v>4.4283787326475474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