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4C5627C-8134-4032-91F1-0165EC2E662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5" i="4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<sst xmlns="http://schemas.openxmlformats.org/spreadsheetml/2006/main" count="389" uniqueCount="274">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</sst>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230</v>
      </c>
    </row>
    <row r="10" spans="1:5" ht="13.9" x14ac:dyDescent="0.4">
      <c r="B10" s="140" t="s">
        <v>204</v>
      </c>
      <c r="C10" s="193">
        <v>487358224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206</v>
      </c>
      <c r="C14" s="219">
        <v>45382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211</v>
      </c>
      <c r="C17" s="242" t="s">
        <v>269</v>
      </c>
      <c r="D17" s="24"/>
    </row>
    <row r="18" spans="2:13" ht="13.9" x14ac:dyDescent="0.4">
      <c r="B18" s="240" t="s">
        <v>225</v>
      </c>
      <c r="C18" s="242" t="s">
        <v>231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270</v>
      </c>
      <c r="D20" s="24"/>
    </row>
    <row r="21" spans="2:13" ht="13.9" x14ac:dyDescent="0.4">
      <c r="B21" s="224" t="s">
        <v>218</v>
      </c>
      <c r="C21" s="242" t="s">
        <v>270</v>
      </c>
      <c r="D21" s="24"/>
    </row>
    <row r="22" spans="2:13" ht="78.75" x14ac:dyDescent="0.4">
      <c r="B22" s="226" t="s">
        <v>217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103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101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108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0.08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272</v>
      </c>
      <c r="D87" s="269">
        <v>0.02</v>
      </c>
    </row>
    <row r="89" spans="2:8" ht="13.5" x14ac:dyDescent="0.35">
      <c r="B89" s="106" t="s">
        <v>123</v>
      </c>
      <c r="C89" s="283">
        <f>C24</f>
        <v>45382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103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233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241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232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194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0398.HK</v>
      </c>
      <c r="D3" s="290"/>
      <c r="E3" s="87"/>
      <c r="F3" s="3" t="s">
        <v>1</v>
      </c>
      <c r="G3" s="132">
        <v>3.8</v>
      </c>
      <c r="H3" s="134" t="s">
        <v>273</v>
      </c>
    </row>
    <row r="4" spans="1:10" ht="15.75" customHeight="1" x14ac:dyDescent="0.4">
      <c r="B4" s="35" t="s">
        <v>182</v>
      </c>
      <c r="C4" s="291" t="str">
        <f>Inputs!C5</f>
        <v>東方表行集團</v>
      </c>
      <c r="D4" s="292"/>
      <c r="E4" s="87"/>
      <c r="F4" s="3" t="s">
        <v>3</v>
      </c>
      <c r="G4" s="295">
        <f>Inputs!C10</f>
        <v>487358224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45619</v>
      </c>
      <c r="D5" s="294"/>
      <c r="E5" s="34"/>
      <c r="F5" s="35" t="s">
        <v>97</v>
      </c>
      <c r="G5" s="287">
        <f>G3*G4/1000000</f>
        <v>1851.9612511999999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9.70494144797025E-2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3.7548526172941428E-3</v>
      </c>
      <c r="F24" s="140" t="s">
        <v>243</v>
      </c>
      <c r="G24" s="268">
        <f>G3/(Fin_Analysis!H86*G7)</f>
        <v>9.0922452679568178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0.5819036971492364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6.4000000000000001E-2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2.1652937400780172</v>
      </c>
      <c r="D29" s="129">
        <f>G29*(1+G20)</f>
        <v>4.2691630906715181</v>
      </c>
      <c r="E29" s="87"/>
      <c r="F29" s="131">
        <f>IF(Fin_Analysis!C108="Profit",Fin_Analysis!F100,IF(Fin_Analysis!C108="Dividend",Fin_Analysis!F103,Fin_Analysis!F106))</f>
        <v>2.5474044000917848</v>
      </c>
      <c r="G29" s="286">
        <f>IF(Fin_Analysis!C108="Profit",Fin_Analysis!I100,IF(Fin_Analysis!C108="Dividend",Fin_Analysis!I103,Fin_Analysis!I106))</f>
        <v>3.712315731018712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187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188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0.68375747988736812</v>
      </c>
      <c r="D40" s="156">
        <f t="shared" si="34"/>
        <v>0.67913262073859615</v>
      </c>
      <c r="E40" s="156">
        <f t="shared" si="34"/>
        <v>0.67572574560948018</v>
      </c>
      <c r="F40" s="156">
        <f t="shared" si="34"/>
        <v>0.72542523991002339</v>
      </c>
      <c r="G40" s="156">
        <f t="shared" si="34"/>
        <v>0.72570592808295886</v>
      </c>
      <c r="H40" s="156">
        <f t="shared" si="34"/>
        <v>0.75259972164596523</v>
      </c>
      <c r="I40" s="156">
        <f t="shared" si="34"/>
        <v>0.79013152161433509</v>
      </c>
      <c r="J40" s="156">
        <f t="shared" si="34"/>
        <v>0.83824975058038786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0.21895053202218998</v>
      </c>
      <c r="D41" s="153">
        <f t="shared" si="35"/>
        <v>0.21054521082404754</v>
      </c>
      <c r="E41" s="153">
        <f t="shared" si="35"/>
        <v>0.20562320627599406</v>
      </c>
      <c r="F41" s="153">
        <f t="shared" si="35"/>
        <v>0.18363012560994194</v>
      </c>
      <c r="G41" s="153">
        <f t="shared" si="35"/>
        <v>0.20816361575273848</v>
      </c>
      <c r="H41" s="153">
        <f t="shared" si="35"/>
        <v>0.19510960190121057</v>
      </c>
      <c r="I41" s="153">
        <f t="shared" si="35"/>
        <v>0.16663150847323988</v>
      </c>
      <c r="J41" s="153">
        <f t="shared" si="35"/>
        <v>0.15969665483348955</v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>
        <f t="shared" si="36"/>
        <v>0</v>
      </c>
      <c r="H42" s="153">
        <f t="shared" si="36"/>
        <v>0</v>
      </c>
      <c r="I42" s="153">
        <f t="shared" si="36"/>
        <v>0</v>
      </c>
      <c r="J42" s="153">
        <f t="shared" si="36"/>
        <v>0</v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3.7548526172941428E-3</v>
      </c>
      <c r="D43" s="153">
        <f t="shared" si="37"/>
        <v>3.9442035027615089E-3</v>
      </c>
      <c r="E43" s="153">
        <f t="shared" si="37"/>
        <v>3.3059744918228439E-3</v>
      </c>
      <c r="F43" s="153">
        <f t="shared" si="37"/>
        <v>2.9117967866640108E-3</v>
      </c>
      <c r="G43" s="153">
        <f t="shared" si="37"/>
        <v>6.039912729424236E-3</v>
      </c>
      <c r="H43" s="153">
        <f t="shared" si="37"/>
        <v>8.0379651269662036E-4</v>
      </c>
      <c r="I43" s="153">
        <f t="shared" si="37"/>
        <v>6.3734311953001909E-4</v>
      </c>
      <c r="J43" s="153">
        <f t="shared" si="37"/>
        <v>1.1870304984096019E-3</v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2.4257361073934199E-4</v>
      </c>
      <c r="D44" s="153">
        <f t="shared" si="38"/>
        <v>3.3111298681819405E-5</v>
      </c>
      <c r="E44" s="153">
        <f t="shared" si="38"/>
        <v>1.4726189043605455E-4</v>
      </c>
      <c r="F44" s="153">
        <f t="shared" si="38"/>
        <v>0</v>
      </c>
      <c r="G44" s="153">
        <f t="shared" si="38"/>
        <v>0</v>
      </c>
      <c r="H44" s="153">
        <f t="shared" si="38"/>
        <v>0</v>
      </c>
      <c r="I44" s="153">
        <f t="shared" si="38"/>
        <v>0</v>
      </c>
      <c r="J44" s="153">
        <f t="shared" si="38"/>
        <v>0</v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>
        <f t="shared" si="39"/>
        <v>0</v>
      </c>
      <c r="H45" s="153">
        <f t="shared" si="39"/>
        <v>0</v>
      </c>
      <c r="I45" s="153">
        <f t="shared" si="39"/>
        <v>0</v>
      </c>
      <c r="J45" s="153">
        <f t="shared" si="39"/>
        <v>0</v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9.3294561862408365E-2</v>
      </c>
      <c r="D46" s="153">
        <f t="shared" si="40"/>
        <v>0.10634485363591302</v>
      </c>
      <c r="E46" s="153">
        <f t="shared" si="40"/>
        <v>0.1151978117322669</v>
      </c>
      <c r="F46" s="153">
        <f t="shared" si="40"/>
        <v>8.8032837693370641E-2</v>
      </c>
      <c r="G46" s="153">
        <f t="shared" si="40"/>
        <v>6.0090543434878393E-2</v>
      </c>
      <c r="H46" s="153">
        <f t="shared" si="40"/>
        <v>5.1486879940127621E-2</v>
      </c>
      <c r="I46" s="153">
        <f t="shared" si="40"/>
        <v>4.2599626792894953E-2</v>
      </c>
      <c r="J46" s="153">
        <f t="shared" si="40"/>
        <v>8.6656408771296136E-4</v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e">
        <f t="shared" si="41"/>
        <v>#VALUE!</v>
      </c>
      <c r="I48" s="272" t="e">
        <f t="shared" si="41"/>
        <v>#VALUE!</v>
      </c>
      <c r="J48" s="272" t="e">
        <f t="shared" si="41"/>
        <v>#VALUE!</v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e">
        <f t="shared" si="44"/>
        <v>#VALUE!</v>
      </c>
      <c r="G51" s="153" t="e">
        <f t="shared" si="44"/>
        <v>#VALUE!</v>
      </c>
      <c r="H51" s="153" t="e">
        <f t="shared" si="44"/>
        <v>#VALUE!</v>
      </c>
      <c r="I51" s="153" t="e">
        <f t="shared" si="44"/>
        <v>#VALUE!</v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4.0247282824821366E-2</v>
      </c>
      <c r="D55" s="153">
        <f t="shared" si="47"/>
        <v>3.7088804656829566E-2</v>
      </c>
      <c r="E55" s="153">
        <f t="shared" si="47"/>
        <v>2.8698240375488321E-2</v>
      </c>
      <c r="F55" s="153">
        <f t="shared" si="47"/>
        <v>3.307625725761746E-2</v>
      </c>
      <c r="G55" s="153">
        <f t="shared" si="47"/>
        <v>0.10051353148386549</v>
      </c>
      <c r="H55" s="153">
        <f t="shared" si="47"/>
        <v>1.5611676482073268E-2</v>
      </c>
      <c r="I55" s="153">
        <f t="shared" si="47"/>
        <v>1.49612371636157E-2</v>
      </c>
      <c r="J55" s="153">
        <f t="shared" si="47"/>
        <v>1.3698127065736321</v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e">
        <f t="shared" si="49"/>
        <v>#VALUE!</v>
      </c>
      <c r="I58" s="274" t="e">
        <f t="shared" si="49"/>
        <v>#VALUE!</v>
      </c>
      <c r="J58" s="274" t="e">
        <f t="shared" si="49"/>
        <v>#VALUE!</v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e">
        <f t="shared" si="50"/>
        <v>#VALUE!</v>
      </c>
      <c r="I59" s="274" t="e">
        <f t="shared" si="50"/>
        <v>#VALUE!</v>
      </c>
      <c r="J59" s="274" t="e">
        <f t="shared" si="50"/>
        <v>#VALUE!</v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45382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103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93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162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219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232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153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0.13747979329212437</v>
      </c>
      <c r="D87" s="209"/>
      <c r="E87" s="262">
        <f>E86*Exchange_Rate/Dashboard!G3</f>
        <v>9.6235855304487111E-2</v>
      </c>
      <c r="F87" s="209"/>
      <c r="H87" s="262">
        <f>H86*Exchange_Rate/Dashboard!G3</f>
        <v>0.10998383463369955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208</v>
      </c>
      <c r="C89" s="261">
        <f>C88*Exchange_Rate/Dashboard!G3</f>
        <v>0.08</v>
      </c>
      <c r="D89" s="209"/>
      <c r="E89" s="261">
        <f>E88*Exchange_Rate/Dashboard!G3</f>
        <v>5.7599999999999998E-2</v>
      </c>
      <c r="F89" s="209"/>
      <c r="H89" s="261">
        <f>H88*Exchange_Rate/Dashboard!G3</f>
        <v>6.4000000000000001E-2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9.5496789016949535</v>
      </c>
      <c r="H93" s="87" t="s">
        <v>196</v>
      </c>
      <c r="I93" s="144">
        <f>FV(H87,D93,0,-(H86/(C93-D94)))*Exchange_Rate</f>
        <v>11.615662160934958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4.777069273428002</v>
      </c>
      <c r="H94" s="87" t="s">
        <v>197</v>
      </c>
      <c r="I94" s="144">
        <f>FV(H89,D93,0,-(H88/(C93-D94)))*Exchange_Rate</f>
        <v>5.4704110257594678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2814511.7717124848</v>
      </c>
      <c r="D97" s="213"/>
      <c r="E97" s="123">
        <f>PV(C94,D93,0,-F93)</f>
        <v>4.7478781794916554</v>
      </c>
      <c r="F97" s="213"/>
      <c r="H97" s="123">
        <f>PV(C94,D93,0,-I93)</f>
        <v>5.7750369915015218</v>
      </c>
      <c r="I97" s="123">
        <f>PV(C93,D93,0,-I93)</f>
        <v>7.8825896560946402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2814511.7717124848</v>
      </c>
      <c r="D100" s="109">
        <f>MIN(F100*(1-C94),E100)</f>
        <v>4.4722389476720998</v>
      </c>
      <c r="E100" s="109">
        <f>MAX(E97+H98+E99,0)</f>
        <v>4.7478781794916554</v>
      </c>
      <c r="F100" s="109">
        <f>(E100+H100)/2</f>
        <v>5.2614575854965882</v>
      </c>
      <c r="H100" s="109">
        <f>MAX(C100*Data!$C$4/Common_Shares,0)</f>
        <v>5.7750369915015218</v>
      </c>
      <c r="I100" s="109">
        <f>MAX(I97+H98+H99,0)</f>
        <v>7.8825896560946402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1325497.9367329073</v>
      </c>
      <c r="D103" s="109">
        <f>MIN(F103*(1-C94),E103)</f>
        <v>2.1652937400780172</v>
      </c>
      <c r="E103" s="123">
        <f>PV(C94,D93,0,-F94)</f>
        <v>2.3750477056567076</v>
      </c>
      <c r="F103" s="109">
        <f>(E103+H103)/2</f>
        <v>2.5474044000917848</v>
      </c>
      <c r="H103" s="123">
        <f>PV(C94,D93,0,-I94)</f>
        <v>2.7197610945268615</v>
      </c>
      <c r="I103" s="109">
        <f>PV(C93,D93,0,-I94)</f>
        <v>3.712315731018712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1735708.2545347672</v>
      </c>
      <c r="D106" s="109">
        <f>(D100+D103)/2</f>
        <v>3.3187663438750583</v>
      </c>
      <c r="E106" s="123">
        <f>(E100+E103)/2</f>
        <v>3.5614629425741815</v>
      </c>
      <c r="F106" s="109">
        <f>(F100+F103)/2</f>
        <v>3.9044309927941865</v>
      </c>
      <c r="H106" s="123">
        <f>(H100+H103)/2</f>
        <v>4.2473990430141919</v>
      </c>
      <c r="I106" s="123">
        <f>(I100+I103)/2</f>
        <v>5.7974526935566759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