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7C0737C-1984-4743-A8A3-8280D15D6B8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F94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E93" i="4" l="1"/>
  <c r="F93" i="4"/>
  <c r="E95" i="4"/>
  <c r="F97" i="4"/>
  <c r="F96" i="4"/>
  <c r="D53" i="4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<sst xmlns="http://schemas.openxmlformats.org/spreadsheetml/2006/main" count="389" uniqueCount="274">
  <si>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</si>
  <si>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</si>
  <si>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</si>
  <si>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</si>
  <si>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</si>
  <si>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</si>
  <si>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</si>
  <si>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</si>
  <si>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</si>
  <si>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</si>
  <si>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</si>
  <si>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</si>
  <si>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</si>
  <si>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</si>
  <si>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</si>
  <si>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</si>
  <si>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</si>
  <si>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</si>
  <si>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</si>
  <si>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</si>
  <si>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</si>
  <si>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</si>
  <si>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</si>
  <si>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</si>
  <si>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</si>
  <si>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</si>
  <si>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</si>
  <si>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</si>
  <si>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</si>
  <si>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</si>
  <si>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</si>
  <si>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</si>
  <si>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</si>
  <si>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</si>
  <si>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</si>
  <si>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</si>
  <si>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</si>
  <si>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</si>
  <si>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</si>
  <si>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</si>
  <si>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</si>
  <si>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</si>
  <si>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</si>
  <si>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</si>
  <si>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</si>
  <si>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</si>
  <si>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</si>
  <si>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</si>
  <si>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</si>
  <si>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</si>
  <si>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</si>
  <si>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</si>
  <si>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</si>
  <si>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</si>
  <si>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</si>
  <si>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</si>
  <si>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</si>
  <si>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</si>
  <si>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</si>
  <si>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</si>
  <si>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</si>
  <si>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</si>
  <si>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</si>
  <si>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</si>
  <si>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</si>
  <si>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</si>
  <si>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</si>
  <si>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</si>
  <si>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</si>
  <si>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</si>
  <si>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</si>
  <si>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</si>
  <si>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</si>
  <si>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</si>
  <si>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</si>
  <si>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</si>
  <si>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</si>
  <si>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</si>
  <si>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</si>
  <si>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</si>
  <si>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</si>
  <si>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</si>
  <si>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</si>
  <si>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</si>
  <si>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</si>
  <si>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</si>
  <si>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</si>
  <si>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</si>
  <si>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</si>
  <si>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</si>
  <si>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</si>
  <si>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</si>
  <si>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</si>
  <si>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</si>
  <si>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</si>
  <si>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</si>
  <si>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</si>
  <si>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</si>
  <si>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</si>
  <si>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</si>
  <si>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</si>
  <si>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</si>
  <si>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</si>
  <si>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</si>
  <si>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</si>
  <si>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</si>
  <si>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</si>
  <si>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</si>
  <si>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</si>
  <si>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</si>
  <si>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</si>
  <si>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</si>
  <si>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</si>
  <si>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</si>
  <si>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</si>
  <si>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</si>
  <si>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</si>
  <si>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</si>
  <si>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</si>
  <si>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</si>
  <si>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</si>
  <si>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</si>
  <si>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</si>
  <si>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</si>
  <si>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</si>
  <si>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</si>
  <si>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</si>
  <si>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</si>
  <si>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</si>
  <si>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</si>
  <si>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</si>
  <si>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</si>
  <si>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</si>
  <si>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</si>
  <si>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</si>
  <si>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</si>
  <si>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</si>
  <si>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</si>
  <si>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</si>
  <si>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</si>
  <si>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</si>
  <si>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</si>
  <si>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</si>
  <si>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</si>
  <si>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</si>
  <si>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</si>
  <si>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</si>
  <si>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</si>
  <si>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</si>
  <si>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</si>
  <si>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</si>
  <si>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</si>
  <si>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</si>
  <si>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</si>
  <si>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</si>
  <si>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</si>
  <si>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</si>
  <si>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</si>
  <si>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</si>
  <si>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</si>
  <si>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</si>
  <si>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</si>
  <si>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</si>
  <si>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</si>
  <si>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</si>
  <si>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</si>
  <si>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</si>
  <si>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</si>
  <si>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</si>
  <si>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</si>
  <si>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</si>
  <si>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</si>
  <si>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</si>
  <si>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</si>
  <si>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</si>
  <si>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</si>
  <si>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</si>
  <si>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</si>
  <si>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</si>
  <si>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</si>
  <si>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</si>
  <si>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</si>
  <si>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</si>
  <si>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</si>
  <si>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</si>
  <si>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</si>
  <si>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</si>
  <si>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</si>
  <si>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</si>
  <si>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</si>
  <si>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</si>
  <si>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</si>
  <si>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</si>
  <si>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</si>
  <si>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</si>
  <si>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</si>
  <si>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</si>
  <si>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</si>
  <si>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</si>
  <si>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</si>
  <si>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</si>
  <si>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</si>
  <si>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</si>
  <si>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</si>
  <si>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</si>
  <si>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</si>
  <si>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</si>
  <si>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</si>
  <si>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</si>
  <si>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</si>
  <si>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</si>
  <si>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</si>
  <si>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</si>
  <si>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</si>
  <si>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</si>
  <si>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</si>
  <si>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</si>
  <si>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</si>
  <si>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</si>
  <si>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</si>
  <si>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</si>
  <si>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</si>
  <si>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</si>
  <si>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</si>
  <si>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</si>
  <si>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</si>
  <si>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</si>
  <si>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</si>
  <si>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</si>
  <si>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</si>
  <si>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</si>
  <si>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</si>
  <si>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</si>
  <si>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</si>
  <si>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</si>
  <si>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</si>
  <si>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</si>
  <si>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</si>
  <si>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</si>
  <si>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</si>
  <si>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</si>
  <si>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</si>
  <si>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</si>
  <si>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</si>
  <si>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</si>
  <si>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</si>
  <si>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</si>
  <si>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</si>
  <si>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</si>
  <si>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</si>
  <si>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</si>
  <si>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</si>
  <si>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</si>
  <si>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</si>
  <si>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</si>
  <si>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</si>
  <si>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</si>
  <si>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</si>
  <si>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</si>
  <si>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</si>
  <si>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</si>
  <si>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</si>
  <si>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</si>
  <si>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</si>
  <si>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</si>
  <si>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</si>
  <si>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0468.HK</t>
  </si>
  <si>
    <t>紛美包裝</t>
  </si>
  <si>
    <t xml:space="preserve">Superior Cycl. </t>
  </si>
  <si>
    <t>C0007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</si>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</sst>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266</v>
      </c>
    </row>
    <row r="5" spans="1:5" ht="13.9" x14ac:dyDescent="0.4">
      <c r="B5" s="141" t="s">
        <v>181</v>
      </c>
      <c r="C5" s="191" t="s">
        <v>267</v>
      </c>
    </row>
    <row r="6" spans="1:5" ht="13.9" x14ac:dyDescent="0.4">
      <c r="B6" s="141" t="s">
        <v>155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268</v>
      </c>
      <c r="E8" s="267"/>
    </row>
    <row r="9" spans="1:5" ht="13.9" x14ac:dyDescent="0.4">
      <c r="B9" s="140" t="s">
        <v>202</v>
      </c>
      <c r="C9" s="192" t="s">
        <v>269</v>
      </c>
    </row>
    <row r="10" spans="1:5" ht="13.9" x14ac:dyDescent="0.4">
      <c r="B10" s="140" t="s">
        <v>203</v>
      </c>
      <c r="C10" s="193">
        <v>1407129000</v>
      </c>
    </row>
    <row r="11" spans="1:5" ht="13.9" x14ac:dyDescent="0.4">
      <c r="B11" s="140" t="s">
        <v>204</v>
      </c>
      <c r="C11" s="192" t="s">
        <v>270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239</v>
      </c>
      <c r="C15" s="176" t="s">
        <v>243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271</v>
      </c>
      <c r="D17" s="24"/>
    </row>
    <row r="18" spans="2:13" ht="13.9" x14ac:dyDescent="0.4">
      <c r="B18" s="240" t="s">
        <v>224</v>
      </c>
      <c r="C18" s="242" t="s">
        <v>229</v>
      </c>
      <c r="D18" s="24"/>
    </row>
    <row r="19" spans="2:13" ht="13.9" x14ac:dyDescent="0.4">
      <c r="B19" s="240" t="s">
        <v>225</v>
      </c>
      <c r="C19" s="242" t="s">
        <v>271</v>
      </c>
      <c r="D19" s="24"/>
    </row>
    <row r="20" spans="2:13" ht="13.9" x14ac:dyDescent="0.4">
      <c r="B20" s="241" t="s">
        <v>214</v>
      </c>
      <c r="C20" s="242" t="s">
        <v>271</v>
      </c>
      <c r="D20" s="24"/>
    </row>
    <row r="21" spans="2:13" ht="13.9" x14ac:dyDescent="0.4">
      <c r="B21" s="224" t="s">
        <v>217</v>
      </c>
      <c r="C21" s="242" t="s">
        <v>229</v>
      </c>
      <c r="D21" s="24"/>
    </row>
    <row r="22" spans="2:13" ht="78.75" x14ac:dyDescent="0.4">
      <c r="B22" s="226" t="s">
        <v>216</v>
      </c>
      <c r="C22" s="243" t="s">
        <v>272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3816679</v>
      </c>
      <c r="D25" s="149">
        <v>3937011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3135568</v>
      </c>
      <c r="D26" s="150">
        <v>3349048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420868</v>
      </c>
      <c r="D27" s="150">
        <v>424202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7599</v>
      </c>
      <c r="D29" s="150">
        <v>5443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264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f>0.06+0.04</f>
        <v>0.1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4.1598948987077652E-2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235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3816679</v>
      </c>
      <c r="D91" s="209"/>
      <c r="E91" s="251">
        <f>C91</f>
        <v>3816679</v>
      </c>
      <c r="F91" s="251">
        <f>C91</f>
        <v>3816679</v>
      </c>
    </row>
    <row r="92" spans="2:8" ht="13.9" x14ac:dyDescent="0.4">
      <c r="B92" s="104" t="s">
        <v>102</v>
      </c>
      <c r="C92" s="77">
        <f>C26</f>
        <v>3135568</v>
      </c>
      <c r="D92" s="159">
        <f>C92/C91</f>
        <v>0.82154354610382485</v>
      </c>
      <c r="E92" s="252">
        <f>E91*D92</f>
        <v>3135568</v>
      </c>
      <c r="F92" s="252">
        <f>F91*D92</f>
        <v>3135568</v>
      </c>
    </row>
    <row r="93" spans="2:8" ht="13.9" x14ac:dyDescent="0.4">
      <c r="B93" s="104" t="s">
        <v>231</v>
      </c>
      <c r="C93" s="77">
        <f>C27+C28</f>
        <v>420868</v>
      </c>
      <c r="D93" s="159">
        <f>C93/C91</f>
        <v>0.1102707353696761</v>
      </c>
      <c r="E93" s="252">
        <f>E91*D93</f>
        <v>420868</v>
      </c>
      <c r="F93" s="252">
        <f>F91*D93</f>
        <v>420868</v>
      </c>
    </row>
    <row r="94" spans="2:8" ht="13.9" x14ac:dyDescent="0.4">
      <c r="B94" s="104" t="s">
        <v>240</v>
      </c>
      <c r="C94" s="77">
        <f>C29</f>
        <v>7599</v>
      </c>
      <c r="D94" s="159">
        <f>C94/C91</f>
        <v>1.9909979330197799E-3</v>
      </c>
      <c r="E94" s="253"/>
      <c r="F94" s="252">
        <f>F91*D94</f>
        <v>7599.0000000000009</v>
      </c>
    </row>
    <row r="95" spans="2:8" ht="13.9" x14ac:dyDescent="0.4">
      <c r="B95" s="28" t="s">
        <v>230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193</v>
      </c>
      <c r="C98" s="237">
        <f>C44</f>
        <v>0.1</v>
      </c>
      <c r="D98" s="266"/>
      <c r="E98" s="254">
        <f>F98</f>
        <v>0.06</v>
      </c>
      <c r="F98" s="254">
        <v>0.06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0468.HK : 紛美包裝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0468.HK</v>
      </c>
      <c r="D3" s="290"/>
      <c r="E3" s="87"/>
      <c r="F3" s="3" t="s">
        <v>1</v>
      </c>
      <c r="G3" s="132">
        <v>2.57</v>
      </c>
      <c r="H3" s="134" t="s">
        <v>273</v>
      </c>
    </row>
    <row r="4" spans="1:10" ht="15.75" customHeight="1" x14ac:dyDescent="0.4">
      <c r="B4" s="35" t="s">
        <v>181</v>
      </c>
      <c r="C4" s="291" t="str">
        <f>Inputs!C5</f>
        <v>紛美包裝</v>
      </c>
      <c r="D4" s="292"/>
      <c r="E4" s="87"/>
      <c r="F4" s="3" t="s">
        <v>2</v>
      </c>
      <c r="G4" s="295">
        <f>Inputs!C10</f>
        <v>1407129000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45605</v>
      </c>
      <c r="D5" s="294"/>
      <c r="E5" s="34"/>
      <c r="F5" s="35" t="s">
        <v>96</v>
      </c>
      <c r="G5" s="287">
        <f>G3*G4/1000000</f>
        <v>3616.3215300000002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 xml:space="preserve">Superior Cycl. </v>
      </c>
      <c r="D7" s="187" t="str">
        <f>Inputs!C9</f>
        <v>C0007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258</v>
      </c>
      <c r="C23" s="282">
        <f>Data!C13</f>
        <v>6.8185718526499087E-2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1.9909979330197799E-3</v>
      </c>
      <c r="F24" s="140" t="s">
        <v>242</v>
      </c>
      <c r="G24" s="268">
        <f>G3/(Fin_Analysis!H86*G7)</f>
        <v>17.851770846370879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162</v>
      </c>
      <c r="G25" s="171">
        <f>Fin_Analysis!I88</f>
        <v>0.44556894286030935</v>
      </c>
    </row>
    <row r="26" spans="1:8" ht="15.75" customHeight="1" x14ac:dyDescent="0.4">
      <c r="B26" s="138" t="s">
        <v>261</v>
      </c>
      <c r="C26" s="171">
        <f>Fin_Analysis!I80+Fin_Analysis!I82</f>
        <v>0</v>
      </c>
      <c r="F26" s="141" t="s">
        <v>179</v>
      </c>
      <c r="G26" s="178">
        <f>Fin_Analysis!H88*Exchange_Rate/G3</f>
        <v>2.4959369392246588E-2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1.2060072106564599</v>
      </c>
      <c r="D29" s="129">
        <f>G29*(1+G20)</f>
        <v>2.1700466673968961</v>
      </c>
      <c r="E29" s="87"/>
      <c r="F29" s="131">
        <f>IF(Fin_Analysis!C108="Profit",Fin_Analysis!F100,IF(Fin_Analysis!C108="Dividend",Fin_Analysis!F103,Fin_Analysis!F106))</f>
        <v>1.4188320125370117</v>
      </c>
      <c r="G29" s="286">
        <f>IF(Fin_Analysis!C108="Profit",Fin_Analysis!I100,IF(Fin_Analysis!C108="Dividend",Fin_Analysis!I103,Fin_Analysis!I106))</f>
        <v>1.8869971020842575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agree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unclear</v>
      </c>
    </row>
    <row r="37" spans="1:3" ht="15.75" customHeight="1" x14ac:dyDescent="0.4">
      <c r="A37"/>
      <c r="B37" s="20" t="s">
        <v>225</v>
      </c>
      <c r="C37" s="245" t="str">
        <f>Inputs!C19</f>
        <v>agree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agree</v>
      </c>
    </row>
    <row r="40" spans="1:3" ht="15.75" customHeight="1" x14ac:dyDescent="0.4">
      <c r="A40"/>
      <c r="B40" s="1" t="s">
        <v>217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260243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3816679</v>
      </c>
      <c r="D6" s="200">
        <f>IF(Inputs!D25="","",Inputs!D25)</f>
        <v>3937011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-3.0564303731942855E-2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3135568</v>
      </c>
      <c r="D8" s="199">
        <f>IF(Inputs!D26="","",Inputs!D26)</f>
        <v>3349048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681111</v>
      </c>
      <c r="D9" s="151">
        <f t="shared" si="2"/>
        <v>587963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420868</v>
      </c>
      <c r="D10" s="199">
        <f>IF(Inputs!D27="","",Inputs!D27)</f>
        <v>424202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6.8185718526499087E-2</v>
      </c>
      <c r="D13" s="229">
        <f t="shared" si="3"/>
        <v>4.1595260973362788E-2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260243</v>
      </c>
      <c r="D14" s="230">
        <f t="shared" ref="D14:M14" si="4">IF(D6="","",D9-D10-MAX(D11,0)-MAX(D12,0))</f>
        <v>163761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0.58916347604130415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7599</v>
      </c>
      <c r="D17" s="199">
        <f>IF(Inputs!D29="","",Inputs!D29)</f>
        <v>5443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252644</v>
      </c>
      <c r="D22" s="161">
        <f t="shared" ref="D22:M22" si="8">IF(D6="","",D14-MAX(D16,0)-MAX(D17,0)-ABS(MAX(D21,0)-MAX(D19,0)))</f>
        <v>158318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4.9646040445109479E-2</v>
      </c>
      <c r="D23" s="153">
        <f t="shared" si="9"/>
        <v>3.0159555053313289E-2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189483</v>
      </c>
      <c r="D24" s="77">
        <f>IF(D6="","",D22*(1-Fin_Analysis!$I$84))</f>
        <v>118738.5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0.59580085650399828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263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0.82154354610382485</v>
      </c>
      <c r="D40" s="156">
        <f t="shared" si="34"/>
        <v>0.85065751657793187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0.1102707353696761</v>
      </c>
      <c r="D41" s="153">
        <f t="shared" si="35"/>
        <v>0.10774722244870538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1.9909979330197799E-3</v>
      </c>
      <c r="D43" s="153">
        <f t="shared" si="37"/>
        <v>1.3825209022784036E-3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0</v>
      </c>
      <c r="D44" s="153">
        <f t="shared" si="38"/>
        <v>0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</v>
      </c>
      <c r="D45" s="153">
        <f t="shared" si="39"/>
        <v>0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6.6194720593479306E-2</v>
      </c>
      <c r="D46" s="153">
        <f t="shared" si="40"/>
        <v>4.0212740071084385E-2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254</v>
      </c>
      <c r="C48" s="272" t="e">
        <f t="shared" ref="C48:M48" si="41">IF(C6="","",C6/C27)</f>
        <v>#DIV/0!</v>
      </c>
      <c r="D48" s="272" t="e">
        <f t="shared" si="41"/>
        <v>#VALUE!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3" t="e">
        <f t="shared" ref="C51:M51" si="44">IF(D6="","",C16/(C6-D6))</f>
        <v>#VALUE!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3.0077896170104972E-2</v>
      </c>
      <c r="D55" s="153">
        <f t="shared" si="47"/>
        <v>3.4380171553455706E-2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252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253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3816679</v>
      </c>
      <c r="D74" s="209"/>
      <c r="E74" s="238">
        <f>Inputs!E91</f>
        <v>3816679</v>
      </c>
      <c r="F74" s="209"/>
      <c r="H74" s="238">
        <f>Inputs!F91</f>
        <v>3816679</v>
      </c>
      <c r="I74" s="209"/>
      <c r="K74" s="24"/>
    </row>
    <row r="75" spans="1:11" ht="15" customHeight="1" x14ac:dyDescent="0.4">
      <c r="B75" s="104" t="s">
        <v>102</v>
      </c>
      <c r="C75" s="77">
        <f>Data!C8</f>
        <v>3135568</v>
      </c>
      <c r="D75" s="159">
        <f>C75/$C$74</f>
        <v>0.82154354610382485</v>
      </c>
      <c r="E75" s="238">
        <f>Inputs!E92</f>
        <v>3135568</v>
      </c>
      <c r="F75" s="160">
        <f>E75/E74</f>
        <v>0.82154354610382485</v>
      </c>
      <c r="H75" s="238">
        <f>Inputs!F92</f>
        <v>3135568</v>
      </c>
      <c r="I75" s="160">
        <f>H75/$H$74</f>
        <v>0.82154354610382485</v>
      </c>
      <c r="K75" s="24"/>
    </row>
    <row r="76" spans="1:11" ht="15" customHeight="1" x14ac:dyDescent="0.4">
      <c r="B76" s="35" t="s">
        <v>92</v>
      </c>
      <c r="C76" s="161">
        <f>C74-C75</f>
        <v>681111</v>
      </c>
      <c r="D76" s="210"/>
      <c r="E76" s="162">
        <f>E74-E75</f>
        <v>681111</v>
      </c>
      <c r="F76" s="210"/>
      <c r="H76" s="162">
        <f>H74-H75</f>
        <v>681111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420868</v>
      </c>
      <c r="D77" s="159">
        <f>C77/$C$74</f>
        <v>0.1102707353696761</v>
      </c>
      <c r="E77" s="238">
        <f>Inputs!E93</f>
        <v>420868</v>
      </c>
      <c r="F77" s="160">
        <f>E77/E74</f>
        <v>0.1102707353696761</v>
      </c>
      <c r="H77" s="238">
        <f>Inputs!F93</f>
        <v>420868</v>
      </c>
      <c r="I77" s="160">
        <f>H77/$H$74</f>
        <v>0.1102707353696761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218</v>
      </c>
      <c r="C79" s="257">
        <f>C76-C77-C78</f>
        <v>260243</v>
      </c>
      <c r="D79" s="258">
        <f>C79/C74</f>
        <v>6.8185718526499087E-2</v>
      </c>
      <c r="E79" s="259">
        <f>E76-E77-E78</f>
        <v>260243</v>
      </c>
      <c r="F79" s="258">
        <f>E79/E74</f>
        <v>6.8185718526499087E-2</v>
      </c>
      <c r="G79" s="260"/>
      <c r="H79" s="259">
        <f>H76-H77-H78</f>
        <v>260243</v>
      </c>
      <c r="I79" s="258">
        <f>H79/H74</f>
        <v>6.8185718526499087E-2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240</v>
      </c>
      <c r="C81" s="77">
        <f>MAX(Data!C17,0)</f>
        <v>7599</v>
      </c>
      <c r="D81" s="159">
        <f>C81/$C$74</f>
        <v>1.9909979330197799E-3</v>
      </c>
      <c r="E81" s="180">
        <f>E74*F81</f>
        <v>7599.0000000000009</v>
      </c>
      <c r="F81" s="160">
        <f>I81</f>
        <v>1.9909979330197799E-3</v>
      </c>
      <c r="H81" s="238">
        <f>Inputs!F94</f>
        <v>7599.0000000000009</v>
      </c>
      <c r="I81" s="160">
        <f>H81/$H$74</f>
        <v>1.9909979330197799E-3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120</v>
      </c>
      <c r="C83" s="163">
        <f>C79-C81-C82-C80</f>
        <v>252644</v>
      </c>
      <c r="D83" s="164">
        <f>C83/$C$74</f>
        <v>6.6194720593479306E-2</v>
      </c>
      <c r="E83" s="165">
        <f>E79-E81-E82-E80</f>
        <v>252644</v>
      </c>
      <c r="F83" s="164">
        <f>E83/E74</f>
        <v>6.6194720593479306E-2</v>
      </c>
      <c r="H83" s="165">
        <f>H79-H81-H82-H80</f>
        <v>252644</v>
      </c>
      <c r="I83" s="164">
        <f>H83/$H$74</f>
        <v>6.6194720593479306E-2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189483</v>
      </c>
      <c r="D85" s="258">
        <f>C85/$C$74</f>
        <v>4.9646040445109479E-2</v>
      </c>
      <c r="E85" s="264">
        <f>E83*(1-F84)</f>
        <v>189483</v>
      </c>
      <c r="F85" s="258">
        <f>E85/E74</f>
        <v>4.9646040445109479E-2</v>
      </c>
      <c r="G85" s="260"/>
      <c r="H85" s="264">
        <f>H83*(1-I84)</f>
        <v>189483</v>
      </c>
      <c r="I85" s="258">
        <f>H85/$H$74</f>
        <v>4.9646040445109479E-2</v>
      </c>
      <c r="K85" s="24"/>
    </row>
    <row r="86" spans="1:11" ht="15" customHeight="1" x14ac:dyDescent="0.4">
      <c r="B86" s="87" t="s">
        <v>152</v>
      </c>
      <c r="C86" s="167">
        <f>C85*Data!C4/Common_Shares</f>
        <v>0.13465929562961179</v>
      </c>
      <c r="D86" s="209"/>
      <c r="E86" s="168">
        <f>E85*Data!C4/Common_Shares</f>
        <v>0.13465929562961179</v>
      </c>
      <c r="F86" s="209"/>
      <c r="H86" s="168">
        <f>H85*Data!C4/Common_Shares</f>
        <v>0.13465929562961179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5.6016851695320294E-2</v>
      </c>
      <c r="D87" s="209"/>
      <c r="E87" s="262">
        <f>E86*Exchange_Rate/Dashboard!G3</f>
        <v>5.6016851695320294E-2</v>
      </c>
      <c r="F87" s="209"/>
      <c r="H87" s="262">
        <f>H86*Exchange_Rate/Dashboard!G3</f>
        <v>5.6016851695320294E-2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0.1</v>
      </c>
      <c r="D88" s="166">
        <f>C88/C86</f>
        <v>0.74261490476718228</v>
      </c>
      <c r="E88" s="170">
        <f>Inputs!E98</f>
        <v>0.06</v>
      </c>
      <c r="F88" s="166">
        <f>E88/E86</f>
        <v>0.44556894286030935</v>
      </c>
      <c r="H88" s="170">
        <f>Inputs!F98</f>
        <v>0.06</v>
      </c>
      <c r="I88" s="166">
        <f>H88/H86</f>
        <v>0.44556894286030935</v>
      </c>
      <c r="K88" s="24"/>
    </row>
    <row r="89" spans="1:11" ht="15" customHeight="1" x14ac:dyDescent="0.4">
      <c r="B89" s="87" t="s">
        <v>207</v>
      </c>
      <c r="C89" s="261">
        <f>C88*Exchange_Rate/Dashboard!G3</f>
        <v>4.1598948987077652E-2</v>
      </c>
      <c r="D89" s="209"/>
      <c r="E89" s="261">
        <f>E88*Exchange_Rate/Dashboard!G3</f>
        <v>2.4959369392246588E-2</v>
      </c>
      <c r="F89" s="209"/>
      <c r="H89" s="261">
        <f>H88*Exchange_Rate/Dashboard!G3</f>
        <v>2.4959369392246588E-2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2.8537779662714078</v>
      </c>
      <c r="H93" s="87" t="s">
        <v>195</v>
      </c>
      <c r="I93" s="144">
        <f>FV(H87,D93,0,-(H86/(C93-D94)))*Exchange_Rate</f>
        <v>2.8537779662714078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1.0952521091404941</v>
      </c>
      <c r="H94" s="87" t="s">
        <v>196</v>
      </c>
      <c r="I94" s="144">
        <f>FV(H89,D93,0,-(H88/(C93-D94)))*Exchange_Rate</f>
        <v>1.0952521091404941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1996479.6709691926</v>
      </c>
      <c r="D97" s="213"/>
      <c r="E97" s="123">
        <f>PV(C94,D93,0,-F93)</f>
        <v>1.4188320125370117</v>
      </c>
      <c r="F97" s="213"/>
      <c r="H97" s="123">
        <f>PV(C94,D93,0,-I93)</f>
        <v>1.4188320125370117</v>
      </c>
      <c r="I97" s="123">
        <f>PV(C93,D93,0,-I93)</f>
        <v>1.8869971020842575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1996479.6709691926</v>
      </c>
      <c r="D100" s="109">
        <f>MIN(F100*(1-C94),E100)</f>
        <v>1.2060072106564599</v>
      </c>
      <c r="E100" s="109">
        <f>MAX(E97+H98+E99,0)</f>
        <v>1.4188320125370117</v>
      </c>
      <c r="F100" s="109">
        <f>(E100+H100)/2</f>
        <v>1.4188320125370117</v>
      </c>
      <c r="H100" s="109">
        <f>MAX(C100*Data!$C$4/Common_Shares,0)</f>
        <v>1.4188320125370117</v>
      </c>
      <c r="I100" s="109">
        <f>MAX(I97+H98+H99,0)</f>
        <v>1.8869971020842575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766229.39707607485</v>
      </c>
      <c r="D103" s="109">
        <f>MIN(F103*(1-C94),E103)</f>
        <v>0.46285378775838149</v>
      </c>
      <c r="E103" s="123">
        <f>PV(C94,D93,0,-F94)</f>
        <v>0.54453386795103709</v>
      </c>
      <c r="F103" s="109">
        <f>(E103+H103)/2</f>
        <v>0.54453386795103709</v>
      </c>
      <c r="H103" s="123">
        <f>PV(C94,D93,0,-I94)</f>
        <v>0.54453386795103709</v>
      </c>
      <c r="I103" s="109">
        <f>PV(C93,D93,0,-I94)</f>
        <v>0.72421105651049333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1381354.5340226337</v>
      </c>
      <c r="D106" s="109">
        <f>(D100+D103)/2</f>
        <v>0.83443049920742074</v>
      </c>
      <c r="E106" s="123">
        <f>(E100+E103)/2</f>
        <v>0.98168294024402436</v>
      </c>
      <c r="F106" s="109">
        <f>(F100+F103)/2</f>
        <v>0.98168294024402436</v>
      </c>
      <c r="H106" s="123">
        <f>(H100+H103)/2</f>
        <v>0.98168294024402436</v>
      </c>
      <c r="I106" s="123">
        <f>(I100+I103)/2</f>
        <v>1.3056040792973755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2024-12-16T09:18:49Z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