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712F3B35-CCD2-4029-964D-6906C7570917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3" i="3" l="1"/>
  <c r="D4" i="3"/>
  <c r="D3" i="3"/>
  <c r="C34" i="2"/>
  <c r="I48" i="3"/>
  <c r="I49" i="3"/>
  <c r="C30" i="2" l="1"/>
  <c r="F98" i="4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9" i="4"/>
  <c r="C35" i="2"/>
  <c r="E34" i="2"/>
  <c r="E27" i="2" s="1"/>
  <c r="F34" i="2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H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3" i="4"/>
  <c r="E37" i="2"/>
  <c r="D27" i="2"/>
  <c r="D37" i="2" s="1"/>
  <c r="F27" i="2"/>
  <c r="F37" i="2" s="1"/>
  <c r="F38" i="2" s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E11" i="3" l="1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6" i="3"/>
  <c r="J46" i="3" s="1"/>
  <c r="D62" i="3"/>
  <c r="D24" i="3"/>
  <c r="I81" i="3" l="1"/>
  <c r="C24" i="1" s="1"/>
  <c r="J26" i="3"/>
  <c r="C34" i="1"/>
  <c r="L26" i="2"/>
  <c r="M26" i="2" s="1"/>
  <c r="C65" i="3"/>
  <c r="D65" i="3" s="1"/>
  <c r="C68" i="3"/>
  <c r="C37" i="2" s="1"/>
  <c r="C38" i="2" s="1"/>
  <c r="D63" i="3"/>
  <c r="F27" i="3"/>
  <c r="F26" i="3"/>
  <c r="F24" i="3"/>
  <c r="F25" i="3"/>
  <c r="D28" i="3"/>
  <c r="E49" i="3"/>
  <c r="E68" i="3" s="1"/>
  <c r="D44" i="3"/>
  <c r="D45" i="3"/>
  <c r="D25" i="3"/>
  <c r="F81" i="3" l="1"/>
  <c r="E81" i="3" s="1"/>
  <c r="D49" i="3"/>
  <c r="D68" i="3"/>
  <c r="C53" i="2" l="1"/>
  <c r="C21" i="1" s="1"/>
  <c r="G23" i="1"/>
  <c r="C48" i="2"/>
  <c r="C22" i="1" l="1"/>
  <c r="C20" i="1" s="1"/>
  <c r="C57" i="2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B41" i="4" l="1"/>
  <c r="I42" i="3"/>
  <c r="C53" i="3"/>
  <c r="E53" i="3" s="1"/>
  <c r="D52" i="3" l="1"/>
  <c r="C98" i="3"/>
  <c r="D53" i="3"/>
  <c r="I47" i="3"/>
  <c r="J47" i="3" s="1"/>
  <c r="J28" i="3" s="1"/>
  <c r="E3" i="3"/>
  <c r="D6" i="3"/>
  <c r="E69" i="3"/>
  <c r="D7" i="3" l="1"/>
  <c r="E6" i="3"/>
  <c r="E70" i="3"/>
  <c r="C70" i="3"/>
  <c r="H98" i="3"/>
  <c r="C99" i="3" l="1"/>
  <c r="D70" i="3"/>
  <c r="H99" i="3" l="1"/>
  <c r="C100" i="3"/>
  <c r="H100" i="3" s="1"/>
  <c r="H106" i="3" s="1"/>
  <c r="E99" i="3" l="1"/>
  <c r="E100" i="3" s="1"/>
  <c r="I100" i="3"/>
  <c r="G29" i="1" l="1"/>
  <c r="D29" i="1" s="1"/>
  <c r="I106" i="3"/>
  <c r="E106" i="3"/>
  <c r="C106" i="3" s="1"/>
  <c r="F100" i="3"/>
  <c r="D100" i="3" l="1"/>
  <c r="F106" i="3"/>
  <c r="F29" i="1"/>
  <c r="C29" i="1" l="1"/>
  <c r="D106" i="3"/>
</calcChain>
</file>

<file path=xl/sharedStrings.xml><?xml version="1.0" encoding="utf-8"?>
<sst xmlns="http://schemas.openxmlformats.org/spreadsheetml/2006/main" count="390" uniqueCount="275">
  <si>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</si>
  <si>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</si>
  <si>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</si>
  <si>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</si>
  <si>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</si>
  <si>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</si>
  <si>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</si>
  <si>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</si>
  <si>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</si>
  <si>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</si>
  <si>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</si>
  <si>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</si>
  <si>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</si>
  <si>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</si>
  <si>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</si>
  <si>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</si>
  <si>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</si>
  <si>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</si>
  <si>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</si>
  <si>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</si>
  <si>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</si>
  <si>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</si>
  <si>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</si>
  <si>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</si>
  <si>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</si>
  <si>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</si>
  <si>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</si>
  <si>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</si>
  <si>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</si>
  <si>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</si>
  <si>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</si>
  <si>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</si>
  <si>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</si>
  <si>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</si>
  <si>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</si>
  <si>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</si>
  <si>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</si>
  <si>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</si>
  <si>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</si>
  <si>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</si>
  <si>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</si>
  <si>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</si>
  <si>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</si>
  <si>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</si>
  <si>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</si>
  <si>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</si>
  <si>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</si>
  <si>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</si>
  <si>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</si>
  <si>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</si>
  <si>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</si>
  <si>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</si>
  <si>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</si>
  <si>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</si>
  <si>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</si>
  <si>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</si>
  <si>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</si>
  <si>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</si>
  <si>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</si>
  <si>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</si>
  <si>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</si>
  <si>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</si>
  <si>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</si>
  <si>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</si>
  <si>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</si>
  <si>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</si>
  <si>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</si>
  <si>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</si>
  <si>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</si>
  <si>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</si>
  <si>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</si>
  <si>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</si>
  <si>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</si>
  <si>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</si>
  <si>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</si>
  <si>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</si>
  <si>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</si>
  <si>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</si>
  <si>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</si>
  <si>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</si>
  <si>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</si>
  <si>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</si>
  <si>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</si>
  <si>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</si>
  <si>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</si>
  <si>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</si>
  <si>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</si>
  <si>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</si>
  <si>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</si>
  <si>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</si>
  <si>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</si>
  <si>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</si>
  <si>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</si>
  <si>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</si>
  <si>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</si>
  <si>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</si>
  <si>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</si>
  <si>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</si>
  <si>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</si>
  <si>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</si>
  <si>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</si>
  <si>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</si>
  <si>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</si>
  <si>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</si>
  <si>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</si>
  <si>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</si>
  <si>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</si>
  <si>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</si>
  <si>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</si>
  <si>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</si>
  <si>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</si>
  <si>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</si>
  <si>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</si>
  <si>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</si>
  <si>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</si>
  <si>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</si>
  <si>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</si>
  <si>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</si>
  <si>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</si>
  <si>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</si>
  <si>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</si>
  <si>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</si>
  <si>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</si>
  <si>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</si>
  <si>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</si>
  <si>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</si>
  <si>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</si>
  <si>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</si>
  <si>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</si>
  <si>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</si>
  <si>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</si>
  <si>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</si>
  <si>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</si>
  <si>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</si>
  <si>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</si>
  <si>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</si>
  <si>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</si>
  <si>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</si>
  <si>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</si>
  <si>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</si>
  <si>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</si>
  <si>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</si>
  <si>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</si>
  <si>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</si>
  <si>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</si>
  <si>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</si>
  <si>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</si>
  <si>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</si>
  <si>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</si>
  <si>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</si>
  <si>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</si>
  <si>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</si>
  <si>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</si>
  <si>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</si>
  <si>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</si>
  <si>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</si>
  <si>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</si>
  <si>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</si>
  <si>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</si>
  <si>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</si>
  <si>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</si>
  <si>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</si>
  <si>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</si>
  <si>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</si>
  <si>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</si>
  <si>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</si>
  <si>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</si>
  <si>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</si>
  <si>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</si>
  <si>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</si>
  <si>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</si>
  <si>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</si>
  <si>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</si>
  <si>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</si>
  <si>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</si>
  <si>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</si>
  <si>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</si>
  <si>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</si>
  <si>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</si>
  <si>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</si>
  <si>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</si>
  <si>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</si>
  <si>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</si>
  <si>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</si>
  <si>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</si>
  <si>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</si>
  <si>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</si>
  <si>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</si>
  <si>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</si>
  <si>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</si>
  <si>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</si>
  <si>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</si>
  <si>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</si>
  <si>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</si>
  <si>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</si>
  <si>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</si>
  <si>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</si>
  <si>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</si>
  <si>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</si>
  <si>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</si>
  <si>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</si>
  <si>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</si>
  <si>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</si>
  <si>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</si>
  <si>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</si>
  <si>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</si>
  <si>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</si>
  <si>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</si>
  <si>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</si>
  <si>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</si>
  <si>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</si>
  <si>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</si>
  <si>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</si>
  <si>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</si>
  <si>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</si>
  <si>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</si>
  <si>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</si>
  <si>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</si>
  <si>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</si>
  <si>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</si>
  <si>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</si>
  <si>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</si>
  <si>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</si>
  <si>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</si>
  <si>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</si>
  <si>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</si>
  <si>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</si>
  <si>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</si>
  <si>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</si>
  <si>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</si>
  <si>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</si>
  <si>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</si>
  <si>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</si>
  <si>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</si>
  <si>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</si>
  <si>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</si>
  <si>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</si>
  <si>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</si>
  <si>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</si>
  <si>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</si>
  <si>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</si>
  <si>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</si>
  <si>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</si>
  <si>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</si>
  <si>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</si>
  <si>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</si>
  <si>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</si>
  <si>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</si>
  <si>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</si>
  <si>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</si>
  <si>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</si>
  <si>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</si>
  <si>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</si>
  <si>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</si>
  <si>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</si>
  <si>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</si>
  <si>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</si>
  <si>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</si>
  <si>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</si>
  <si>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</si>
  <si>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</si>
  <si>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</si>
  <si>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</si>
  <si>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</si>
  <si>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</si>
  <si>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</si>
  <si>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</si>
  <si>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</si>
  <si>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</si>
  <si>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</si>
  <si>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</si>
  <si>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</si>
  <si>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</si>
  <si>
    <t>PlaceHolder_3</t>
    <phoneticPr fontId="20" type="noConversion"/>
  </si>
  <si>
    <t>PlaceHolder_4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</si>
</sst>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11" zoomScaleNormal="100" workbookViewId="0">
      <selection activeCell="C37" sqref="C3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229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230</v>
      </c>
    </row>
    <row r="10" spans="1:5" ht="13.9" x14ac:dyDescent="0.4">
      <c r="B10" s="140" t="s">
        <v>204</v>
      </c>
      <c r="C10" s="193">
        <v>587107850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45382</v>
      </c>
    </row>
    <row r="15" spans="1:5" ht="13.9" x14ac:dyDescent="0.4">
      <c r="B15" s="218" t="s">
        <v>241</v>
      </c>
      <c r="C15" s="176" t="s">
        <v>177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231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264</v>
      </c>
      <c r="C37" s="150">
        <v>3990166</v>
      </c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- Error"))</f>
        <v>Total Equity</v>
      </c>
      <c r="C41" s="150">
        <v>12863898</v>
      </c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>
        <v>-26962</v>
      </c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9.8265895953757218E-2</v>
      </c>
      <c r="D45" s="152">
        <f>IF(D44="","",D44*Exchange_Rate/Dashboard!$G$3)</f>
        <v>7.947976878612717E-2</v>
      </c>
      <c r="E45" s="152">
        <f>IF(E44="","",E44*Exchange_Rate/Dashboard!$G$3)</f>
        <v>7.947976878612717E-2</v>
      </c>
      <c r="F45" s="152">
        <f>IF(F44="","",F44*Exchange_Rate/Dashboard!$G$3)</f>
        <v>7.2254335260115612E-2</v>
      </c>
      <c r="G45" s="152">
        <f>IF(G44="","",G44*Exchange_Rate/Dashboard!$G$3)</f>
        <v>7.2254335260115612E-2</v>
      </c>
      <c r="H45" s="152">
        <f>IF(H44="","",H44*Exchange_Rate/Dashboard!$G$3)</f>
        <v>8.3092485549132941E-2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>
        <v>1998219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>
        <v>366595</v>
      </c>
      <c r="D54" s="60">
        <v>0.1</v>
      </c>
      <c r="E54" s="112"/>
    </row>
    <row r="55" spans="2:5" ht="13.9" x14ac:dyDescent="0.4">
      <c r="B55" s="3" t="s">
        <v>44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>
        <v>103050</v>
      </c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925726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538321</v>
      </c>
      <c r="D70" s="60">
        <v>0.05</v>
      </c>
      <c r="E70" s="112"/>
    </row>
    <row r="71" spans="2:5" ht="13.9" x14ac:dyDescent="0.4">
      <c r="B71" s="3" t="s">
        <v>72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277674</v>
      </c>
      <c r="D72" s="248">
        <v>0</v>
      </c>
      <c r="E72" s="249"/>
    </row>
    <row r="73" spans="2:5" ht="13.9" x14ac:dyDescent="0.4">
      <c r="B73" s="3" t="s">
        <v>36</v>
      </c>
      <c r="C73" s="59">
        <v>1427805</v>
      </c>
    </row>
    <row r="74" spans="2:5" ht="13.9" x14ac:dyDescent="0.4">
      <c r="B74" s="3" t="s">
        <v>37</v>
      </c>
      <c r="C74" s="59">
        <v>287697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319420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hidden="1" thickBot="1" x14ac:dyDescent="0.45">
      <c r="B82" s="80" t="s">
        <v>273</v>
      </c>
      <c r="C82" s="217"/>
    </row>
    <row r="83" spans="2:8" ht="14.25" hidden="1" thickTop="1" x14ac:dyDescent="0.4">
      <c r="B83" s="73" t="s">
        <v>274</v>
      </c>
      <c r="C83" s="217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123</v>
      </c>
      <c r="C89" s="283">
        <f>C24</f>
        <v>45382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15325962</v>
      </c>
      <c r="D91" s="209"/>
      <c r="E91" s="251">
        <f>C91*0.8</f>
        <v>12260769.600000001</v>
      </c>
      <c r="F91" s="251">
        <f>C91*0.9</f>
        <v>13793365.800000001</v>
      </c>
    </row>
    <row r="92" spans="2:8" ht="13.9" x14ac:dyDescent="0.4">
      <c r="B92" s="104" t="s">
        <v>103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10036460.700000001</v>
      </c>
    </row>
    <row r="93" spans="2:8" ht="13.9" x14ac:dyDescent="0.4">
      <c r="B93" s="104" t="s">
        <v>233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2281422.7033199999</v>
      </c>
    </row>
    <row r="94" spans="2:8" ht="13.9" x14ac:dyDescent="0.4">
      <c r="B94" s="104" t="s">
        <v>242</v>
      </c>
      <c r="C94" s="77">
        <f>C29</f>
        <v>59596</v>
      </c>
      <c r="D94" s="159">
        <f>C94/C91</f>
        <v>3.8885650375487034E-3</v>
      </c>
      <c r="E94" s="253"/>
      <c r="F94" s="252">
        <f>F91*D94</f>
        <v>53636.4</v>
      </c>
    </row>
    <row r="95" spans="2:8" ht="13.9" x14ac:dyDescent="0.4">
      <c r="B95" s="28" t="s">
        <v>232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137933.658</v>
      </c>
    </row>
    <row r="96" spans="2:8" ht="13.9" x14ac:dyDescent="0.4">
      <c r="B96" s="28" t="s">
        <v>107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275867.31599999999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0590.HK</v>
      </c>
      <c r="D3" s="290"/>
      <c r="E3" s="87"/>
      <c r="F3" s="3" t="s">
        <v>1</v>
      </c>
      <c r="G3" s="132">
        <v>13.84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六福珠宝</v>
      </c>
      <c r="D4" s="292"/>
      <c r="E4" s="87"/>
      <c r="F4" s="3" t="s">
        <v>3</v>
      </c>
      <c r="G4" s="295">
        <f>Inputs!C10</f>
        <v>587107850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8125.5726439999999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253</v>
      </c>
      <c r="C20" s="276">
        <f>C23*C22*(1/C21)</f>
        <v>0.14558943313324324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251</v>
      </c>
      <c r="C21" s="278">
        <f>Data!C53</f>
        <v>0.76485172952944758</v>
      </c>
      <c r="F21" s="87"/>
      <c r="G21" s="29"/>
    </row>
    <row r="22" spans="1:8" ht="15.75" customHeight="1" x14ac:dyDescent="0.4">
      <c r="B22" s="279" t="s">
        <v>258</v>
      </c>
      <c r="C22" s="280">
        <f>Data!C48</f>
        <v>0.90933332162498015</v>
      </c>
      <c r="F22" s="142" t="s">
        <v>172</v>
      </c>
    </row>
    <row r="23" spans="1:8" ht="15.75" customHeight="1" thickBot="1" x14ac:dyDescent="0.45">
      <c r="B23" s="281" t="s">
        <v>259</v>
      </c>
      <c r="C23" s="282">
        <f>Data!C13</f>
        <v>0.12245710905455723</v>
      </c>
      <c r="F23" s="140" t="s">
        <v>176</v>
      </c>
      <c r="G23" s="177">
        <f>G3/(Data!C34*Data!C4/Common_Shares*Exchange_Rate)</f>
        <v>0.63165711077622044</v>
      </c>
    </row>
    <row r="24" spans="1:8" ht="15.75" customHeight="1" x14ac:dyDescent="0.4">
      <c r="B24" s="137" t="s">
        <v>260</v>
      </c>
      <c r="C24" s="171">
        <f>Fin_Analysis!I81</f>
        <v>3.8885650375487034E-3</v>
      </c>
      <c r="F24" s="140" t="s">
        <v>244</v>
      </c>
      <c r="G24" s="268">
        <f>G3/(Fin_Analysis!H86*G7)</f>
        <v>10.747631916144989</v>
      </c>
    </row>
    <row r="25" spans="1:8" ht="15.75" customHeight="1" x14ac:dyDescent="0.4">
      <c r="B25" s="137" t="s">
        <v>261</v>
      </c>
      <c r="C25" s="171">
        <f>Fin_Analysis!I80</f>
        <v>1.9999999999999997E-2</v>
      </c>
      <c r="F25" s="140" t="s">
        <v>163</v>
      </c>
      <c r="G25" s="171">
        <f>Fin_Analysis!I88</f>
        <v>0.85421929969360477</v>
      </c>
    </row>
    <row r="26" spans="1:8" ht="15.75" customHeight="1" x14ac:dyDescent="0.4">
      <c r="B26" s="138" t="s">
        <v>262</v>
      </c>
      <c r="C26" s="171">
        <f>Fin_Analysis!I80+Fin_Analysis!I82</f>
        <v>2.9999999999999995E-2</v>
      </c>
      <c r="F26" s="141" t="s">
        <v>180</v>
      </c>
      <c r="G26" s="178">
        <f>Fin_Analysis!H88*Exchange_Rate/G3</f>
        <v>7.947976878612717E-2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243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12.858311363695529</v>
      </c>
      <c r="D29" s="129">
        <f>G29*(1+G20)</f>
        <v>25.762548714297665</v>
      </c>
      <c r="E29" s="87"/>
      <c r="F29" s="131">
        <f>IF(Fin_Analysis!C108="Profit",Fin_Analysis!F100,IF(Fin_Analysis!C108="Dividend",Fin_Analysis!F103,Fin_Analysis!F106))</f>
        <v>15.127425133759447</v>
      </c>
      <c r="G29" s="286">
        <f>IF(Fin_Analysis!C108="Profit",Fin_Analysis!I100,IF(Fin_Analysis!C108="Dividend",Fin_Analysis!I103,Fin_Analysis!I106))</f>
        <v>22.402216273302319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0" zoomScaleNormal="100" workbookViewId="0">
      <pane xSplit="2" topLeftCell="C1" activePane="topRight" state="frozen"/>
      <selection activeCell="A4" sqref="A4"/>
      <selection pane="topRight" activeCell="C34" sqref="C3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187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16854064</v>
      </c>
      <c r="D27" s="65">
        <f>IF(D34="","",D34+D30)</f>
        <v>14687373</v>
      </c>
      <c r="E27" s="65">
        <f t="shared" ref="E27:M27" si="20">IF(E34="","",E34+E30)</f>
        <v>15987114</v>
      </c>
      <c r="F27" s="65">
        <f t="shared" si="20"/>
        <v>14270996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265773</v>
      </c>
      <c r="D28" s="199">
        <f>IF(Inputs!D35="","",Inputs!D35)</f>
        <v>213823</v>
      </c>
      <c r="E28" s="199">
        <f>IF(Inputs!E35="","",Inputs!E35)</f>
        <v>187711</v>
      </c>
      <c r="F28" s="199">
        <f>IF(Inputs!F35="","",Inputs!F35)</f>
        <v>277338</v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9672256</v>
      </c>
      <c r="D29" s="199">
        <f>IF(Inputs!D36="","",Inputs!D36)</f>
        <v>8852611</v>
      </c>
      <c r="E29" s="199">
        <f>IF(Inputs!E36="","",Inputs!E36)</f>
        <v>8769304</v>
      </c>
      <c r="F29" s="199">
        <f>IF(Inputs!F36="","",Inputs!F36)</f>
        <v>7321614</v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IF(Inputs!C37="",Inputs!C77+Inputs!C82,Inputs!C37)</f>
        <v>3990166</v>
      </c>
      <c r="D30" s="199">
        <f>IF(Inputs!D37="","",Inputs!D37)</f>
        <v>2466431</v>
      </c>
      <c r="E30" s="199">
        <f>IF(Inputs!E37="","",Inputs!E37)</f>
        <v>3908586</v>
      </c>
      <c r="F30" s="199">
        <f>IF(Inputs!F37="","",Inputs!F37)</f>
        <v>2946772</v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1715502</v>
      </c>
      <c r="D31" s="199">
        <f>IF(Inputs!D39="","",Inputs!D39)</f>
        <v>1035175</v>
      </c>
      <c r="E31" s="199">
        <f>IF(Inputs!E39="","",Inputs!E39)</f>
        <v>1587989</v>
      </c>
      <c r="F31" s="199">
        <f>IF(Inputs!F39="","",Inputs!F39)</f>
        <v>1050082</v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319420</v>
      </c>
      <c r="D32" s="199">
        <f>IF(Inputs!D40="","",Inputs!D40)</f>
        <v>67759</v>
      </c>
      <c r="E32" s="199">
        <f>IF(Inputs!E40="","",Inputs!E40)</f>
        <v>153013</v>
      </c>
      <c r="F32" s="199">
        <f>IF(Inputs!F40="","",Inputs!F40)</f>
        <v>81854</v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2034922</v>
      </c>
      <c r="D33" s="77">
        <f t="shared" ref="D33" si="22">IF(OR(D31="",D32=""),"",D31+D32)</f>
        <v>1102934</v>
      </c>
      <c r="E33" s="77">
        <f t="shared" ref="E33" si="23">IF(OR(E31="",E32=""),"",E31+E32)</f>
        <v>1741002</v>
      </c>
      <c r="F33" s="77">
        <f t="shared" ref="F33" si="24">IF(OR(F31="",F32=""),"",F31+F32)</f>
        <v>1131936</v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12863898</v>
      </c>
      <c r="D34" s="199">
        <f>IF(Inputs!D41="","",Inputs!D41)</f>
        <v>12220942</v>
      </c>
      <c r="E34" s="199">
        <f>IF(Inputs!E41="","",Inputs!E41)</f>
        <v>12078528</v>
      </c>
      <c r="F34" s="199">
        <f>IF(Inputs!F41="","",Inputs!F41)</f>
        <v>11324224</v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-26962</v>
      </c>
      <c r="D35" s="199">
        <f>IF(Inputs!D42="","",Inputs!D42)</f>
        <v>-498</v>
      </c>
      <c r="E35" s="199">
        <f>IF(Inputs!E42="","",Inputs!E42)</f>
        <v>468</v>
      </c>
      <c r="F35" s="199">
        <f>IF(Inputs!F42="","",Inputs!F42)</f>
        <v>411</v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>
        <f>IF(Inputs!D43="","",Inputs!D43)</f>
        <v>3475378</v>
      </c>
      <c r="E36" s="199">
        <f>IF(Inputs!E43="","",Inputs!E43)</f>
        <v>4499643</v>
      </c>
      <c r="F36" s="199">
        <f>IF(Inputs!F43="","",Inputs!F43)</f>
        <v>4455433</v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13930119</v>
      </c>
      <c r="D37" s="65">
        <f t="shared" ref="D37:M37" si="32">IF(D36="","",D27-D36)</f>
        <v>11211995</v>
      </c>
      <c r="E37" s="65">
        <f t="shared" si="32"/>
        <v>11487471</v>
      </c>
      <c r="F37" s="65">
        <f t="shared" si="32"/>
        <v>9815563</v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>
        <f>IF(C6="","",C14/MAX(C37,0))</f>
        <v>0.13472770763839131</v>
      </c>
      <c r="D38" s="155">
        <f>IF(D6="","",D14/MAX(D37,0))</f>
        <v>0.12155570886358762</v>
      </c>
      <c r="E38" s="155">
        <f>IF(E6="","",E14/MAX(E37,0))</f>
        <v>0.12350116052523658</v>
      </c>
      <c r="F38" s="155">
        <f t="shared" ref="F38:M38" si="33">IF(F37="","",F14/F37)</f>
        <v>9.5301342707833817E-2</v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0.72762956087193742</v>
      </c>
      <c r="D40" s="156">
        <f t="shared" si="34"/>
        <v>0.7303022981431383</v>
      </c>
      <c r="E40" s="156">
        <f t="shared" si="34"/>
        <v>0.7244946946204498</v>
      </c>
      <c r="F40" s="156">
        <f t="shared" si="34"/>
        <v>0.70294374380383995</v>
      </c>
      <c r="G40" s="156">
        <f t="shared" si="34"/>
        <v>0.70419372087965826</v>
      </c>
      <c r="H40" s="156">
        <f t="shared" si="34"/>
        <v>0.74565961264792724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0.14991333007350532</v>
      </c>
      <c r="D41" s="153">
        <f t="shared" si="35"/>
        <v>0.15591411943585173</v>
      </c>
      <c r="E41" s="153">
        <f t="shared" si="35"/>
        <v>0.1546380527940365</v>
      </c>
      <c r="F41" s="153">
        <f t="shared" si="35"/>
        <v>0.19122175157580659</v>
      </c>
      <c r="G41" s="153">
        <f t="shared" si="35"/>
        <v>0.18856108069142588</v>
      </c>
      <c r="H41" s="153">
        <f t="shared" si="35"/>
        <v>0.15238149582692045</v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4.0883763120383568E-2</v>
      </c>
      <c r="D42" s="153">
        <f t="shared" si="36"/>
        <v>2.9395857885609465E-2</v>
      </c>
      <c r="E42" s="153">
        <f t="shared" si="36"/>
        <v>8.9049969572670459E-2</v>
      </c>
      <c r="F42" s="153">
        <f t="shared" si="36"/>
        <v>0</v>
      </c>
      <c r="G42" s="153">
        <f t="shared" si="36"/>
        <v>0</v>
      </c>
      <c r="H42" s="153">
        <f t="shared" si="36"/>
        <v>0</v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3.8885650375487034E-3</v>
      </c>
      <c r="D43" s="153">
        <f t="shared" si="37"/>
        <v>1.7334505274905901E-3</v>
      </c>
      <c r="E43" s="153">
        <f t="shared" si="37"/>
        <v>1.9677447304235723E-3</v>
      </c>
      <c r="F43" s="153">
        <f t="shared" si="37"/>
        <v>3.2556042627888463E-3</v>
      </c>
      <c r="G43" s="153">
        <f t="shared" si="37"/>
        <v>5.6147664039083583E-3</v>
      </c>
      <c r="H43" s="153">
        <f t="shared" si="37"/>
        <v>2.1597113239037349E-3</v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0</v>
      </c>
      <c r="D44" s="153">
        <f t="shared" si="38"/>
        <v>0</v>
      </c>
      <c r="E44" s="153">
        <f t="shared" si="38"/>
        <v>0</v>
      </c>
      <c r="F44" s="153">
        <f t="shared" si="38"/>
        <v>2.7068908541056925E-4</v>
      </c>
      <c r="G44" s="153">
        <f t="shared" si="38"/>
        <v>1.5868817930031392E-4</v>
      </c>
      <c r="H44" s="153">
        <f t="shared" si="38"/>
        <v>9.1702453784649294E-4</v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1.4343830423173436E-2</v>
      </c>
      <c r="D45" s="153">
        <f t="shared" si="39"/>
        <v>2.2200239041350014E-2</v>
      </c>
      <c r="E45" s="153">
        <f t="shared" si="39"/>
        <v>3.8804791663312119E-2</v>
      </c>
      <c r="F45" s="153">
        <f t="shared" si="39"/>
        <v>1.5679014505150749E-2</v>
      </c>
      <c r="G45" s="153">
        <f t="shared" si="39"/>
        <v>0</v>
      </c>
      <c r="H45" s="153">
        <f t="shared" si="39"/>
        <v>0</v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6.3340950473451521E-2</v>
      </c>
      <c r="D46" s="153">
        <f t="shared" si="40"/>
        <v>6.0454034966559926E-2</v>
      </c>
      <c r="E46" s="153">
        <f t="shared" si="40"/>
        <v>-8.9552533808924892E-3</v>
      </c>
      <c r="F46" s="153">
        <f t="shared" si="40"/>
        <v>8.6629196767003327E-2</v>
      </c>
      <c r="G46" s="153">
        <f t="shared" si="40"/>
        <v>0.10147174384570713</v>
      </c>
      <c r="H46" s="153">
        <f t="shared" si="40"/>
        <v>9.8882155663402055E-2</v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>
        <f t="shared" ref="C48:M48" si="41">IF(C6="","",C6/C27)</f>
        <v>0.90933332162498015</v>
      </c>
      <c r="D48" s="272">
        <f t="shared" si="41"/>
        <v>0.81551983462257005</v>
      </c>
      <c r="E48" s="272">
        <f t="shared" si="41"/>
        <v>0.73420399704411943</v>
      </c>
      <c r="F48" s="272">
        <f t="shared" si="41"/>
        <v>0.62093318504188499</v>
      </c>
      <c r="G48" s="272" t="e">
        <f t="shared" si="41"/>
        <v>#VALUE!</v>
      </c>
      <c r="H48" s="272" t="e">
        <f t="shared" si="41"/>
        <v>#VALUE!</v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1.7341358408692387E-2</v>
      </c>
      <c r="D49" s="153">
        <f t="shared" si="42"/>
        <v>1.7851543232655226E-2</v>
      </c>
      <c r="E49" s="153">
        <f t="shared" si="42"/>
        <v>1.5992004636642819E-2</v>
      </c>
      <c r="F49" s="153">
        <f t="shared" si="42"/>
        <v>3.1297541510393184E-2</v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0.63110270011109249</v>
      </c>
      <c r="D50" s="153">
        <f t="shared" si="43"/>
        <v>0.73908217538982812</v>
      </c>
      <c r="E50" s="153">
        <f t="shared" si="43"/>
        <v>0.74709926550990846</v>
      </c>
      <c r="F50" s="153">
        <f t="shared" si="43"/>
        <v>0.82624277267477186</v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>
        <f t="shared" ref="C51:M51" si="44">IF(D6="","",C16/(C6-D6))</f>
        <v>0.18714483778648183</v>
      </c>
      <c r="D51" s="153">
        <f t="shared" si="44"/>
        <v>1.4668285834503272</v>
      </c>
      <c r="E51" s="153">
        <f t="shared" si="44"/>
        <v>0.3633800202192411</v>
      </c>
      <c r="F51" s="153">
        <f t="shared" si="44"/>
        <v>0.34507864490338203</v>
      </c>
      <c r="G51" s="153" t="e">
        <f t="shared" si="44"/>
        <v>#VALUE!</v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>
        <f t="shared" ref="C53:M53" si="45">IF(C34="","",(C34-C35)/C27)</f>
        <v>0.76485172952944758</v>
      </c>
      <c r="D53" s="156">
        <f t="shared" si="45"/>
        <v>0.83210523760784183</v>
      </c>
      <c r="E53" s="156">
        <f t="shared" si="45"/>
        <v>0.755487200504106</v>
      </c>
      <c r="F53" s="156">
        <f t="shared" si="45"/>
        <v>0.79348442112940121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>
        <f t="shared" ref="C54:M54" si="46">IF(OR(C22="",C33=""),"",IF(C33&lt;=0,"-",C22/C33))</f>
        <v>0.4770507174230757</v>
      </c>
      <c r="D54" s="157">
        <f t="shared" si="46"/>
        <v>0.6565297651536719</v>
      </c>
      <c r="E54" s="157">
        <f t="shared" si="46"/>
        <v>-6.0376151204880865E-2</v>
      </c>
      <c r="F54" s="157">
        <f t="shared" si="46"/>
        <v>0.67817467889821803</v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6.1391011793840093E-2</v>
      </c>
      <c r="D55" s="153">
        <f t="shared" si="47"/>
        <v>2.8673859874687374E-2</v>
      </c>
      <c r="E55" s="153">
        <f t="shared" si="47"/>
        <v>-0.21973077106026734</v>
      </c>
      <c r="F55" s="153">
        <f t="shared" si="47"/>
        <v>3.7580912490105083E-2</v>
      </c>
      <c r="G55" s="153">
        <f t="shared" si="47"/>
        <v>5.5333299607483753E-2</v>
      </c>
      <c r="H55" s="153">
        <f t="shared" si="47"/>
        <v>2.1841264578165751E-2</v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>
        <f t="shared" ref="C58:M58" si="49">IF(C14="","",C14/(C34-C35))</f>
        <v>0.14558943313324324</v>
      </c>
      <c r="D58" s="274">
        <f t="shared" si="49"/>
        <v>0.11151566427524089</v>
      </c>
      <c r="E58" s="274">
        <f t="shared" si="49"/>
        <v>0.11746224145268362</v>
      </c>
      <c r="F58" s="274">
        <f t="shared" si="49"/>
        <v>8.2607893059814155E-2</v>
      </c>
      <c r="G58" s="274" t="e">
        <f t="shared" si="49"/>
        <v>#VALUE!</v>
      </c>
      <c r="H58" s="274" t="e">
        <f t="shared" si="49"/>
        <v>#VALUE!</v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>
        <f t="shared" ref="C59:M59" si="50">IF(C22="","",C22/(C34-C35))</f>
        <v>7.5306147146117483E-2</v>
      </c>
      <c r="D59" s="274">
        <f t="shared" si="50"/>
        <v>5.9249073758902385E-2</v>
      </c>
      <c r="E59" s="274">
        <f t="shared" si="50"/>
        <v>-8.7029705101647117E-3</v>
      </c>
      <c r="F59" s="274">
        <f t="shared" si="50"/>
        <v>6.7790799206356847E-2</v>
      </c>
      <c r="G59" s="274" t="e">
        <f t="shared" si="50"/>
        <v>#VALUE!</v>
      </c>
      <c r="H59" s="274" t="e">
        <f t="shared" si="50"/>
        <v>#VALUE!</v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zoomScaleNormal="100" workbookViewId="0">
      <selection activeCell="E11" sqref="E1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Inputs!C41</f>
        <v>12863898</v>
      </c>
      <c r="E3" s="67" t="str">
        <f>IF((C49-I49)=D3,"", "Error!")</f>
        <v/>
      </c>
      <c r="F3" s="87"/>
      <c r="G3" s="87"/>
      <c r="H3" s="47" t="s">
        <v>23</v>
      </c>
      <c r="I3" s="204">
        <f>D3-D4</f>
        <v>12890860</v>
      </c>
      <c r="K3" s="24"/>
    </row>
    <row r="4" spans="1:11" ht="15" customHeight="1" x14ac:dyDescent="0.4">
      <c r="B4" s="3" t="s">
        <v>24</v>
      </c>
      <c r="C4" s="87"/>
      <c r="D4" s="65">
        <f>Inputs!C42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3.5066755118062995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3511699.0500000007</v>
      </c>
      <c r="E6" s="56">
        <f>1-D6/D3</f>
        <v>0.72701127994018599</v>
      </c>
      <c r="F6" s="87"/>
      <c r="G6" s="87"/>
      <c r="H6" s="1" t="s">
        <v>27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28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36</v>
      </c>
      <c r="I11" s="40">
        <f>Inputs!C73</f>
        <v>1427805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287697</v>
      </c>
      <c r="J12" s="87"/>
      <c r="K12" s="24"/>
    </row>
    <row r="13" spans="1:11" ht="13.9" x14ac:dyDescent="0.4">
      <c r="B13" s="3" t="s">
        <v>113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1715502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52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53</v>
      </c>
      <c r="I25" s="63">
        <f>E28/I28</f>
        <v>1.9498263624780305</v>
      </c>
    </row>
    <row r="26" spans="2:10" ht="15" customHeight="1" x14ac:dyDescent="0.4">
      <c r="B26" s="23" t="s">
        <v>54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55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57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319420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75</v>
      </c>
      <c r="I34" s="84">
        <f>SUM(I30:I33)</f>
        <v>319420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78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80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82</v>
      </c>
      <c r="I48" s="207">
        <f>I49-I28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83</v>
      </c>
      <c r="I49" s="52">
        <f>Inputs!C37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2034922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45382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13793365.800000001</v>
      </c>
      <c r="I74" s="209"/>
      <c r="K74" s="24"/>
    </row>
    <row r="75" spans="1:11" ht="15" customHeight="1" x14ac:dyDescent="0.4">
      <c r="B75" s="104" t="s">
        <v>103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10036460.700000001</v>
      </c>
      <c r="I75" s="160">
        <f>H75/$H$74</f>
        <v>0.72762956087193753</v>
      </c>
      <c r="K75" s="24"/>
    </row>
    <row r="76" spans="1:11" ht="15" customHeight="1" x14ac:dyDescent="0.4">
      <c r="B76" s="35" t="s">
        <v>93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3756905.0999999996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2281422.7033199999</v>
      </c>
      <c r="I77" s="160">
        <f>H77/$H$74</f>
        <v>0.16539999999999999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1475482.3966799998</v>
      </c>
      <c r="I79" s="258">
        <f>H79/H74</f>
        <v>0.10697043912806255</v>
      </c>
      <c r="K79" s="24"/>
    </row>
    <row r="80" spans="1:11" ht="15" customHeight="1" x14ac:dyDescent="0.4">
      <c r="B80" s="28" t="s">
        <v>107</v>
      </c>
      <c r="C80" s="77">
        <f>MAX(Data!C16,0)</f>
        <v>626583</v>
      </c>
      <c r="D80" s="159">
        <f>C80/$C$74</f>
        <v>4.0883763120383568E-2</v>
      </c>
      <c r="E80" s="180">
        <f>E74*F80</f>
        <v>245215.39199999999</v>
      </c>
      <c r="F80" s="160">
        <f>I80</f>
        <v>1.9999999999999997E-2</v>
      </c>
      <c r="H80" s="238">
        <f>Inputs!F96</f>
        <v>275867.31599999999</v>
      </c>
      <c r="I80" s="160">
        <f>H80/$H$74</f>
        <v>1.9999999999999997E-2</v>
      </c>
      <c r="K80" s="181" t="s">
        <v>127</v>
      </c>
    </row>
    <row r="81" spans="1:11" ht="15" customHeight="1" x14ac:dyDescent="0.4">
      <c r="B81" s="104" t="s">
        <v>242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53636.4</v>
      </c>
      <c r="I81" s="160">
        <f>H81/$H$74</f>
        <v>3.8885650375487034E-3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137933.658</v>
      </c>
      <c r="I82" s="160">
        <f>H82/$H$74</f>
        <v>9.9999999999999985E-3</v>
      </c>
      <c r="K82" s="24"/>
    </row>
    <row r="83" spans="1:11" ht="15" customHeight="1" thickBot="1" x14ac:dyDescent="0.45">
      <c r="B83" s="105" t="s">
        <v>121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1008045.0226799998</v>
      </c>
      <c r="I83" s="164">
        <f>H83/$H$74</f>
        <v>7.3081874090513838E-2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756033.76700999984</v>
      </c>
      <c r="I85" s="258">
        <f>H85/$H$74</f>
        <v>5.4811405567885378E-2</v>
      </c>
      <c r="K85" s="24"/>
    </row>
    <row r="86" spans="1:11" ht="15" customHeight="1" x14ac:dyDescent="0.4">
      <c r="B86" s="87" t="s">
        <v>153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1.2877255294917278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8.9602392581846435E-2</v>
      </c>
      <c r="D87" s="209"/>
      <c r="E87" s="262">
        <f>E86*Exchange_Rate/Dashboard!G3</f>
        <v>8.2705557449693615E-2</v>
      </c>
      <c r="F87" s="209"/>
      <c r="H87" s="262">
        <f>H86*Exchange_Rate/Dashboard!G3</f>
        <v>9.3043752130905183E-2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0.85421929969360477</v>
      </c>
      <c r="K88" s="24"/>
    </row>
    <row r="89" spans="1:11" ht="15" customHeight="1" x14ac:dyDescent="0.4">
      <c r="B89" s="87" t="s">
        <v>207</v>
      </c>
      <c r="C89" s="261">
        <f>C88*Exchange_Rate/Dashboard!G3</f>
        <v>9.8265895953757218E-2</v>
      </c>
      <c r="D89" s="209"/>
      <c r="E89" s="261">
        <f>E88*Exchange_Rate/Dashboard!G3</f>
        <v>7.2254335260115612E-2</v>
      </c>
      <c r="F89" s="209"/>
      <c r="H89" s="261">
        <f>H88*Exchange_Rate/Dashboard!G3</f>
        <v>7.947976878612717E-2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28.091236860388047</v>
      </c>
      <c r="H93" s="87" t="s">
        <v>196</v>
      </c>
      <c r="I93" s="144">
        <f>FV(H87,D93,0,-(H86/(C93-D94)))*Exchange_Rate</f>
        <v>33.140517433110787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23.37961216242973</v>
      </c>
      <c r="H94" s="87" t="s">
        <v>197</v>
      </c>
      <c r="I94" s="144">
        <f>FV(H89,D93,0,-(H88/(C93-D94)))*Exchange_Rate</f>
        <v>26.595825226671593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9673596.5441449955</v>
      </c>
      <c r="D97" s="213"/>
      <c r="E97" s="123">
        <f>PV(C94,D93,0,-F93)</f>
        <v>13.966309432738711</v>
      </c>
      <c r="F97" s="213"/>
      <c r="H97" s="123">
        <f>PV(C94,D93,0,-I93)</f>
        <v>16.476694263490081</v>
      </c>
      <c r="I97" s="123">
        <f>PV(C93,D93,0,-I93)</f>
        <v>22.489729495958088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9622216.8441449963</v>
      </c>
      <c r="D100" s="109">
        <f>MIN(F100*(1-C94),E100)</f>
        <v>12.858311363695529</v>
      </c>
      <c r="E100" s="109">
        <f>MAX(E97+H98+E99,0)</f>
        <v>13.865669226684577</v>
      </c>
      <c r="F100" s="109">
        <f>(E100+H100)/2</f>
        <v>15.127425133759447</v>
      </c>
      <c r="H100" s="109">
        <f>MAX(C100*Data!$C$4/Common_Shares,0)</f>
        <v>16.389181040834316</v>
      </c>
      <c r="I100" s="109">
        <f>MAX(I97+H98+H99,0)</f>
        <v>22.402216273302319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7763224.6847289158</v>
      </c>
      <c r="D103" s="109">
        <f>MIN(F103*(1-C94),E103)</f>
        <v>10.559815542642433</v>
      </c>
      <c r="E103" s="123">
        <f>PV(C94,D93,0,-F94)</f>
        <v>11.623799247457004</v>
      </c>
      <c r="F103" s="109">
        <f>(E103+H103)/2</f>
        <v>12.423312403108744</v>
      </c>
      <c r="H103" s="123">
        <f>PV(C94,D93,0,-I94)</f>
        <v>13.222825558760483</v>
      </c>
      <c r="I103" s="109">
        <f>PV(C93,D93,0,-I94)</f>
        <v>18.048387937118509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7482533.5167480223</v>
      </c>
      <c r="D106" s="109">
        <f>(D100+D103)/2</f>
        <v>11.70906345316898</v>
      </c>
      <c r="E106" s="123">
        <f>(E100+E103)/2</f>
        <v>12.744734237070791</v>
      </c>
      <c r="F106" s="109">
        <f>(F100+F103)/2</f>
        <v>13.775368768434095</v>
      </c>
      <c r="H106" s="123">
        <f>(H100+H103)/2</f>
        <v>14.8060032997974</v>
      </c>
      <c r="I106" s="123">
        <f>(I100+I103)/2</f>
        <v>20.225302105210414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