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60C3E3-6A6B-43F3-A302-111ECDB167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D32" i="4"/>
  <c r="C32" i="4"/>
  <c r="D31" i="4"/>
  <c r="C31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<sst xmlns="http://schemas.openxmlformats.org/spreadsheetml/2006/main" count="389" uniqueCount="272">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</sst>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587107850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1.8149814756293046E-2</v>
      </c>
      <c r="D45" s="152">
        <f>IF(D44="","",D44*Exchange_Rate/Dashboard!$G$3)</f>
        <v>1.7397225819135966E-2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102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231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240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230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0669.HK</v>
      </c>
      <c r="D3" s="290"/>
      <c r="E3" s="87"/>
      <c r="F3" s="3" t="s">
        <v>1</v>
      </c>
      <c r="G3" s="132">
        <v>106.4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創科實業</v>
      </c>
      <c r="D4" s="292"/>
      <c r="E4" s="87"/>
      <c r="F4" s="3" t="s">
        <v>2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62468.275240000003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8.1409623526671804E-2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9.0344684898005026E-3</v>
      </c>
      <c r="F24" s="140" t="s">
        <v>243</v>
      </c>
      <c r="G24" s="268">
        <f>G3/(Fin_Analysis!H86*G7)</f>
        <v>12.42408854161871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0.22549490554616261</v>
      </c>
    </row>
    <row r="26" spans="1:8" ht="15.75" customHeight="1" x14ac:dyDescent="0.4">
      <c r="B26" s="138" t="s">
        <v>261</v>
      </c>
      <c r="C26" s="171">
        <f>Fin_Analysis!I80+Fin_Analysis!I82</f>
        <v>9.5756364731927404E-3</v>
      </c>
      <c r="F26" s="141" t="s">
        <v>179</v>
      </c>
      <c r="G26" s="178">
        <f>Fin_Analysis!H88*Exchange_Rate/G3</f>
        <v>1.8149814756293046E-2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87.913670660066813</v>
      </c>
      <c r="D29" s="129">
        <f>G29*(1+G20)</f>
        <v>162.34894727147974</v>
      </c>
      <c r="E29" s="87"/>
      <c r="F29" s="131">
        <f>IF(Fin_Analysis!C108="Profit",Fin_Analysis!F100,IF(Fin_Analysis!C108="Dividend",Fin_Analysis!F103,Fin_Analysis!F106))</f>
        <v>103.42784783537273</v>
      </c>
      <c r="G29" s="286">
        <f>IF(Fin_Analysis!C108="Profit",Fin_Analysis!I100,IF(Fin_Analysis!C108="Dividend",Fin_Analysis!I103,Fin_Analysis!I106))</f>
        <v>141.17299762737369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0.60531106380837341</v>
      </c>
      <c r="D40" s="156">
        <f t="shared" si="34"/>
        <v>0.60671422644339779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0.31327931266495485</v>
      </c>
      <c r="D41" s="153">
        <f t="shared" si="35"/>
        <v>0.3036976917842476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3.326895739576459E-2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9.0344684898005026E-3</v>
      </c>
      <c r="D43" s="153">
        <f t="shared" si="37"/>
        <v>5.2714982295422553E-3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9.5756364731927404E-3</v>
      </c>
      <c r="D45" s="153">
        <f t="shared" si="39"/>
        <v>4.369576178876026E-3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6.2799518563678561E-2</v>
      </c>
      <c r="D46" s="153">
        <f t="shared" si="40"/>
        <v>4.6678049968171674E-2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-0.8432524806594428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0.1438620660863757</v>
      </c>
      <c r="D55" s="153">
        <f t="shared" si="47"/>
        <v>0.11293312880758147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102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92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120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152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8.0488801786156056E-2</v>
      </c>
      <c r="D87" s="209"/>
      <c r="E87" s="262">
        <f>E86*Exchange_Rate/Dashboard!G3</f>
        <v>8.0488801786155972E-2</v>
      </c>
      <c r="F87" s="209"/>
      <c r="H87" s="262">
        <f>H86*Exchange_Rate/Dashboard!G3</f>
        <v>8.0488801786155972E-2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207</v>
      </c>
      <c r="C89" s="261">
        <f>C88*Exchange_Rate/Dashboard!G3</f>
        <v>1.8149814756293046E-2</v>
      </c>
      <c r="D89" s="209"/>
      <c r="E89" s="261">
        <f>E88*Exchange_Rate/Dashboard!G3</f>
        <v>1.8149814756293046E-2</v>
      </c>
      <c r="F89" s="209"/>
      <c r="H89" s="261">
        <f>H88*Exchange_Rate/Dashboard!G3</f>
        <v>1.8149814756293046E-2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208.03034513133321</v>
      </c>
      <c r="H93" s="87" t="s">
        <v>195</v>
      </c>
      <c r="I93" s="144">
        <f>FV(H87,D93,0,-(H86/(C93-D94)))*Exchange_Rate</f>
        <v>208.03034513133321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34.851422264553932</v>
      </c>
      <c r="H94" s="87" t="s">
        <v>196</v>
      </c>
      <c r="I94" s="144">
        <f>FV(H89,D93,0,-(H88/(C93-D94)))*Exchange_Rate</f>
        <v>34.851422264553932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60723301.372752838</v>
      </c>
      <c r="D97" s="213"/>
      <c r="E97" s="123">
        <f>PV(C94,D93,0,-F93)</f>
        <v>103.42784783537273</v>
      </c>
      <c r="F97" s="213"/>
      <c r="H97" s="123">
        <f>PV(C94,D93,0,-I93)</f>
        <v>103.42784783537273</v>
      </c>
      <c r="I97" s="123">
        <f>PV(C93,D93,0,-I93)</f>
        <v>141.17299762737369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60723301.372752838</v>
      </c>
      <c r="D100" s="109">
        <f>MIN(F100*(1-C94),E100)</f>
        <v>87.913670660066813</v>
      </c>
      <c r="E100" s="109">
        <f>MAX(E97+H98+E99,0)</f>
        <v>103.42784783537273</v>
      </c>
      <c r="F100" s="109">
        <f>(E100+H100)/2</f>
        <v>103.42784783537273</v>
      </c>
      <c r="H100" s="109">
        <f>MAX(C100*Data!$C$4/Common_Shares,0)</f>
        <v>103.42784783537273</v>
      </c>
      <c r="I100" s="109">
        <f>MAX(I97+H98+H99,0)</f>
        <v>141.17299762737369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10173003.443817409</v>
      </c>
      <c r="D103" s="109">
        <f>MIN(F103*(1-C94),E103)</f>
        <v>14.728218890694098</v>
      </c>
      <c r="E103" s="123">
        <f>PV(C94,D93,0,-F94)</f>
        <v>17.327316341993058</v>
      </c>
      <c r="F103" s="109">
        <f>(E103+H103)/2</f>
        <v>17.327316341993058</v>
      </c>
      <c r="H103" s="123">
        <f>PV(C94,D93,0,-I94)</f>
        <v>17.327316341993058</v>
      </c>
      <c r="I103" s="109">
        <f>PV(C93,D93,0,-I94)</f>
        <v>23.650779166656374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35448152.408285126</v>
      </c>
      <c r="D106" s="109">
        <f>(D100+D103)/2</f>
        <v>51.320944775380454</v>
      </c>
      <c r="E106" s="123">
        <f>(E100+E103)/2</f>
        <v>60.377582088682892</v>
      </c>
      <c r="F106" s="109">
        <f>(F100+F103)/2</f>
        <v>60.377582088682892</v>
      </c>
      <c r="H106" s="123">
        <f>(H100+H103)/2</f>
        <v>60.377582088682892</v>
      </c>
      <c r="I106" s="123">
        <f>(I100+I103)/2</f>
        <v>82.411888397015034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