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4A54175-FC85-4D33-8B9D-C0D169C458F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34" i="2"/>
  <c r="C35" i="2"/>
  <c r="C30" i="2"/>
  <c r="E34" i="2"/>
  <c r="E27" i="2" s="1"/>
  <c r="F34" i="2"/>
  <c r="F27" i="2" s="1"/>
  <c r="G34" i="2"/>
  <c r="G27" i="2" s="1"/>
  <c r="H34" i="2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H27" i="2"/>
  <c r="J27" i="2"/>
  <c r="B41" i="4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6" i="4" l="1"/>
  <c r="E92" i="4"/>
  <c r="F97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7" i="2" l="1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<sst xmlns="http://schemas.openxmlformats.org/spreadsheetml/2006/main" count="389" uniqueCount="274">
  <si>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</si>
  <si>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</si>
  <si>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</si>
  <si>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</si>
  <si>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</si>
  <si>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</si>
  <si>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</si>
  <si>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</si>
  <si>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</si>
  <si>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</si>
  <si>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</si>
  <si>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</si>
  <si>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</si>
  <si>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</si>
  <si>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</si>
  <si>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</si>
  <si>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</si>
  <si>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</si>
  <si>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</si>
  <si>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</si>
  <si>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</si>
  <si>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</si>
  <si>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</si>
  <si>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</si>
  <si>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</si>
  <si>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</si>
  <si>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</si>
  <si>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</si>
  <si>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</si>
  <si>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</si>
  <si>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</si>
  <si>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</si>
  <si>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</si>
  <si>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</si>
  <si>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</si>
  <si>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</si>
  <si>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</si>
  <si>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</si>
  <si>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</si>
  <si>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</si>
  <si>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</si>
  <si>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</si>
  <si>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</si>
  <si>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</si>
  <si>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</si>
  <si>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</si>
  <si>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</si>
  <si>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</si>
  <si>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</si>
  <si>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</si>
  <si>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</si>
  <si>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</si>
  <si>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</si>
  <si>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</si>
  <si>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</si>
  <si>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</si>
  <si>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</si>
  <si>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</si>
  <si>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</si>
  <si>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</si>
  <si>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</si>
  <si>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</si>
  <si>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</si>
  <si>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</si>
  <si>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</si>
  <si>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</si>
  <si>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</si>
  <si>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</si>
  <si>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</si>
  <si>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</si>
  <si>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</si>
  <si>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</si>
  <si>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</si>
  <si>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</si>
  <si>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</si>
  <si>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</si>
  <si>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</si>
  <si>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</si>
  <si>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</si>
  <si>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</si>
  <si>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</si>
  <si>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</si>
  <si>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</si>
  <si>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</si>
  <si>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</si>
  <si>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</si>
  <si>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</si>
  <si>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</si>
  <si>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</si>
  <si>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</si>
  <si>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</si>
  <si>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</si>
  <si>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</si>
  <si>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</si>
  <si>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</si>
  <si>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</si>
  <si>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</si>
  <si>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</si>
  <si>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</si>
  <si>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</si>
  <si>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</si>
  <si>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</si>
  <si>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</si>
  <si>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</si>
  <si>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</si>
  <si>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</si>
  <si>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</si>
  <si>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</si>
  <si>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</si>
  <si>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</si>
  <si>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</si>
  <si>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</si>
  <si>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</si>
  <si>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</si>
  <si>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</si>
  <si>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</si>
  <si>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</si>
  <si>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</si>
  <si>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</si>
  <si>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</si>
  <si>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</si>
  <si>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</si>
  <si>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</si>
  <si>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</si>
  <si>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</si>
  <si>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</si>
  <si>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</si>
  <si>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</si>
  <si>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</si>
  <si>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</si>
  <si>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</si>
  <si>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</si>
  <si>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</si>
  <si>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</si>
  <si>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</si>
  <si>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</si>
  <si>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</si>
  <si>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</si>
  <si>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</si>
  <si>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</si>
  <si>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</si>
  <si>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</si>
  <si>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</si>
  <si>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</si>
  <si>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</si>
  <si>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</si>
  <si>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</si>
  <si>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</si>
  <si>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</si>
  <si>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</si>
  <si>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</si>
  <si>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</si>
  <si>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</si>
  <si>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</si>
  <si>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</si>
  <si>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</si>
  <si>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</si>
  <si>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</si>
  <si>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</si>
  <si>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</si>
  <si>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</si>
  <si>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</si>
  <si>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</si>
  <si>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</si>
  <si>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</si>
  <si>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</si>
  <si>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</si>
  <si>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</si>
  <si>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</si>
  <si>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</si>
  <si>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</si>
  <si>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</si>
  <si>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</si>
  <si>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</si>
  <si>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</si>
  <si>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</si>
  <si>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</si>
  <si>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</si>
  <si>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</si>
  <si>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</si>
  <si>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</si>
  <si>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</si>
  <si>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</si>
  <si>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</si>
  <si>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</si>
  <si>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</si>
  <si>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</si>
  <si>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</si>
  <si>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</si>
  <si>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</si>
  <si>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</si>
  <si>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</si>
  <si>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</si>
  <si>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</si>
  <si>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</si>
  <si>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</si>
  <si>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</si>
  <si>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</si>
  <si>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</si>
  <si>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</si>
  <si>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</si>
  <si>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</si>
  <si>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</si>
  <si>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</si>
  <si>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</si>
  <si>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</si>
  <si>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</si>
  <si>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</si>
  <si>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</si>
  <si>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</si>
  <si>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</si>
  <si>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</si>
  <si>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</si>
  <si>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</si>
  <si>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</si>
  <si>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</si>
  <si>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</si>
  <si>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</si>
  <si>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</si>
  <si>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</si>
  <si>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</si>
  <si>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</si>
  <si>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</si>
  <si>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</si>
  <si>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</si>
  <si>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</si>
  <si>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</si>
  <si>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</si>
  <si>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</si>
  <si>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</si>
  <si>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</si>
  <si>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</si>
  <si>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</si>
  <si>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</si>
  <si>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</si>
  <si>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</si>
  <si>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</si>
  <si>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</si>
  <si>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</si>
  <si>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</si>
  <si>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</si>
  <si>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</si>
  <si>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</si>
  <si>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</si>
  <si>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</si>
  <si>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</si>
  <si>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</si>
  <si>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</si>
  <si>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</si>
  <si>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</si>
  <si>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</si>
  <si>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</si>
  <si>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</si>
  <si>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</si>
  <si>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</si>
  <si>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</si>
  <si>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</si>
  <si>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</si>
  <si>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</si>
  <si>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</si>
  <si>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</si>
  <si>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</si>
  <si>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</si>
  <si>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</si>
  <si>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</si>
  <si>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0696.HK</t>
  </si>
  <si>
    <t>中國民航信息網絡</t>
  </si>
  <si>
    <t>C0009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</si>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</sst>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1" t="s">
        <v>180</v>
      </c>
      <c r="C4" s="188" t="s">
        <v>265</v>
      </c>
    </row>
    <row r="5" spans="1:5" ht="13.9" x14ac:dyDescent="0.4">
      <c r="B5" s="141" t="s">
        <v>181</v>
      </c>
      <c r="C5" s="191" t="s">
        <v>266</v>
      </c>
    </row>
    <row r="6" spans="1:5" ht="13.9" x14ac:dyDescent="0.4">
      <c r="B6" s="141" t="s">
        <v>155</v>
      </c>
      <c r="C6" s="189">
        <v>45603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201</v>
      </c>
      <c r="C8" s="191" t="s">
        <v>67</v>
      </c>
      <c r="E8" s="267"/>
    </row>
    <row r="9" spans="1:5" ht="13.9" x14ac:dyDescent="0.4">
      <c r="B9" s="140" t="s">
        <v>202</v>
      </c>
      <c r="C9" s="192" t="s">
        <v>267</v>
      </c>
    </row>
    <row r="10" spans="1:5" ht="13.9" x14ac:dyDescent="0.4">
      <c r="B10" s="140" t="s">
        <v>203</v>
      </c>
      <c r="C10" s="193">
        <v>2926209589</v>
      </c>
    </row>
    <row r="11" spans="1:5" ht="13.9" x14ac:dyDescent="0.4">
      <c r="B11" s="140" t="s">
        <v>204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</v>
      </c>
    </row>
    <row r="14" spans="1:5" ht="13.9" x14ac:dyDescent="0.4">
      <c r="B14" s="218" t="s">
        <v>205</v>
      </c>
      <c r="C14" s="219">
        <v>45473</v>
      </c>
    </row>
    <row r="15" spans="1:5" ht="13.9" x14ac:dyDescent="0.4">
      <c r="B15" s="218" t="s">
        <v>238</v>
      </c>
      <c r="C15" s="176" t="s">
        <v>242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210</v>
      </c>
      <c r="C17" s="242" t="s">
        <v>269</v>
      </c>
      <c r="D17" s="24"/>
    </row>
    <row r="18" spans="2:13" ht="13.9" x14ac:dyDescent="0.4">
      <c r="B18" s="240" t="s">
        <v>224</v>
      </c>
      <c r="C18" s="242" t="s">
        <v>229</v>
      </c>
      <c r="D18" s="24"/>
    </row>
    <row r="19" spans="2:13" ht="13.9" x14ac:dyDescent="0.4">
      <c r="B19" s="240" t="s">
        <v>225</v>
      </c>
      <c r="C19" s="242" t="s">
        <v>270</v>
      </c>
      <c r="D19" s="24"/>
    </row>
    <row r="20" spans="2:13" ht="13.9" x14ac:dyDescent="0.4">
      <c r="B20" s="241" t="s">
        <v>214</v>
      </c>
      <c r="C20" s="242" t="s">
        <v>270</v>
      </c>
      <c r="D20" s="24"/>
    </row>
    <row r="21" spans="2:13" ht="13.9" x14ac:dyDescent="0.4">
      <c r="B21" s="224" t="s">
        <v>217</v>
      </c>
      <c r="C21" s="242" t="s">
        <v>269</v>
      </c>
      <c r="D21" s="24"/>
    </row>
    <row r="22" spans="2:13" ht="78.75" x14ac:dyDescent="0.4">
      <c r="B22" s="226" t="s">
        <v>216</v>
      </c>
      <c r="C22" s="243" t="s">
        <v>271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6983846860.7700005</v>
      </c>
      <c r="D25" s="149">
        <v>5210105771.0900002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3398384261.9699998</v>
      </c>
      <c r="D26" s="150">
        <v>3162230075.25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1191142720.1700001</v>
      </c>
      <c r="D27" s="150">
        <v>1028568099.8399999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>
        <v>863038653</v>
      </c>
      <c r="D28" s="150">
        <v>701713632.36000001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239</v>
      </c>
      <c r="C29" s="150">
        <v>15194992.810000001</v>
      </c>
      <c r="D29" s="150">
        <v>12415189.01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48923904</v>
      </c>
      <c r="D30" s="150">
        <v>52800637.210000001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112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141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263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</v>
      </c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133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131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193</v>
      </c>
      <c r="C44" s="250">
        <f>0.16</f>
        <v>0.16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235</v>
      </c>
      <c r="C45" s="152">
        <f>IF(C44="","",C44*Exchange_Rate/Dashboard!$G$3)</f>
        <v>1.6416015185687458E-2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233</v>
      </c>
      <c r="C47" s="194" t="s">
        <v>30</v>
      </c>
      <c r="D47" s="194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244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115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243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206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234</v>
      </c>
      <c r="C86" s="197">
        <v>5</v>
      </c>
    </row>
    <row r="87" spans="2:8" ht="13.9" x14ac:dyDescent="0.4">
      <c r="B87" s="10" t="s">
        <v>232</v>
      </c>
      <c r="C87" s="236" t="s">
        <v>272</v>
      </c>
      <c r="D87" s="269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121</v>
      </c>
      <c r="C91" s="77">
        <f>C25</f>
        <v>6983846860.7700005</v>
      </c>
      <c r="D91" s="209"/>
      <c r="E91" s="251">
        <f>C91</f>
        <v>6983846860.7700005</v>
      </c>
      <c r="F91" s="251">
        <f>C91</f>
        <v>6983846860.7700005</v>
      </c>
    </row>
    <row r="92" spans="2:8" ht="13.9" x14ac:dyDescent="0.4">
      <c r="B92" s="104" t="s">
        <v>102</v>
      </c>
      <c r="C92" s="77">
        <f>C26</f>
        <v>3398384261.9699998</v>
      </c>
      <c r="D92" s="159">
        <f>C92/C91</f>
        <v>0.48660635459513968</v>
      </c>
      <c r="E92" s="252">
        <f>E91*D92</f>
        <v>3398384261.9699998</v>
      </c>
      <c r="F92" s="252">
        <f>F91*D92</f>
        <v>3398384261.9699998</v>
      </c>
    </row>
    <row r="93" spans="2:8" ht="13.9" x14ac:dyDescent="0.4">
      <c r="B93" s="104" t="s">
        <v>231</v>
      </c>
      <c r="C93" s="77">
        <f>C27+C28</f>
        <v>2054181373.1700001</v>
      </c>
      <c r="D93" s="159">
        <f>C93/C91</f>
        <v>0.2941332211490556</v>
      </c>
      <c r="E93" s="252">
        <f>E91*D93</f>
        <v>2054181373.1700003</v>
      </c>
      <c r="F93" s="252">
        <f>F91*D93</f>
        <v>2054181373.1700003</v>
      </c>
    </row>
    <row r="94" spans="2:8" ht="13.9" x14ac:dyDescent="0.4">
      <c r="B94" s="104" t="s">
        <v>239</v>
      </c>
      <c r="C94" s="77">
        <f>C29</f>
        <v>15194992.810000001</v>
      </c>
      <c r="D94" s="159">
        <f>C94/C91</f>
        <v>2.1757339633768379E-3</v>
      </c>
      <c r="E94" s="253"/>
      <c r="F94" s="252">
        <f>F91*D94</f>
        <v>15194992.810000001</v>
      </c>
    </row>
    <row r="95" spans="2:8" ht="13.9" x14ac:dyDescent="0.4">
      <c r="B95" s="28" t="s">
        <v>230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161</v>
      </c>
      <c r="C97" s="77">
        <f>MAX(C30,0)/(1-C16)</f>
        <v>65231872</v>
      </c>
      <c r="D97" s="159">
        <f>C97/C91</f>
        <v>9.3403926661713623E-3</v>
      </c>
      <c r="E97" s="253"/>
      <c r="F97" s="252">
        <f>F91*D97</f>
        <v>65231872</v>
      </c>
    </row>
    <row r="98" spans="2:7" ht="13.9" x14ac:dyDescent="0.4">
      <c r="B98" s="86" t="s">
        <v>193</v>
      </c>
      <c r="C98" s="237">
        <f>C44</f>
        <v>0.16</v>
      </c>
      <c r="D98" s="266"/>
      <c r="E98" s="254">
        <f>F98</f>
        <v>0.16</v>
      </c>
      <c r="F98" s="254">
        <f>C98</f>
        <v>0.16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0696.HK : 中國民航信息網絡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0696.HK</v>
      </c>
      <c r="D3" s="290"/>
      <c r="E3" s="87"/>
      <c r="F3" s="3" t="s">
        <v>1</v>
      </c>
      <c r="G3" s="132">
        <v>10.42</v>
      </c>
      <c r="H3" s="134" t="s">
        <v>273</v>
      </c>
    </row>
    <row r="4" spans="1:10" ht="15.75" customHeight="1" x14ac:dyDescent="0.4">
      <c r="B4" s="35" t="s">
        <v>181</v>
      </c>
      <c r="C4" s="291" t="str">
        <f>Inputs!C5</f>
        <v>中國民航信息網絡</v>
      </c>
      <c r="D4" s="292"/>
      <c r="E4" s="87"/>
      <c r="F4" s="3" t="s">
        <v>2</v>
      </c>
      <c r="G4" s="295">
        <f>Inputs!C10</f>
        <v>2926209589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45603</v>
      </c>
      <c r="D5" s="294"/>
      <c r="E5" s="34"/>
      <c r="F5" s="35" t="s">
        <v>96</v>
      </c>
      <c r="G5" s="287">
        <f>G3*G4/1000000</f>
        <v>30491.103917380002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7" t="str">
        <f>Inputs!C8</f>
        <v>N</v>
      </c>
      <c r="D7" s="187" t="str">
        <f>Inputs!C9</f>
        <v>C0009</v>
      </c>
      <c r="E7" s="87"/>
      <c r="F7" s="35" t="s">
        <v>5</v>
      </c>
      <c r="G7" s="133">
        <v>1.0690929889678955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177</v>
      </c>
      <c r="F9" s="143" t="s">
        <v>172</v>
      </c>
    </row>
    <row r="10" spans="1:10" ht="15.75" customHeight="1" x14ac:dyDescent="0.4">
      <c r="B10" s="1" t="s">
        <v>163</v>
      </c>
      <c r="C10" s="172">
        <v>4.2000000000000003E-2</v>
      </c>
      <c r="F10" s="110" t="s">
        <v>170</v>
      </c>
    </row>
    <row r="11" spans="1:10" ht="15.75" customHeight="1" thickBot="1" x14ac:dyDescent="0.45">
      <c r="B11" s="122" t="s">
        <v>167</v>
      </c>
      <c r="C11" s="173">
        <v>5.2299999999999999E-2</v>
      </c>
      <c r="D11" s="137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2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2">
        <v>6.5000000000000002E-2</v>
      </c>
      <c r="F15" s="110" t="s">
        <v>168</v>
      </c>
    </row>
    <row r="16" spans="1:10" ht="15.75" customHeight="1" thickBot="1" x14ac:dyDescent="0.45">
      <c r="B16" s="122" t="s">
        <v>174</v>
      </c>
      <c r="C16" s="173">
        <v>0.16</v>
      </c>
      <c r="D16" s="265" t="str">
        <f>Inputs!C15</f>
        <v>CN</v>
      </c>
      <c r="F16" s="110" t="s">
        <v>166</v>
      </c>
    </row>
    <row r="17" spans="1:8" ht="15.75" customHeight="1" thickTop="1" x14ac:dyDescent="0.4">
      <c r="B17" s="87" t="s">
        <v>237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261</v>
      </c>
      <c r="C19" s="135" t="s">
        <v>48</v>
      </c>
      <c r="D19" s="87"/>
      <c r="E19" s="87"/>
      <c r="F19" s="142" t="s">
        <v>198</v>
      </c>
      <c r="G19" s="87"/>
      <c r="H19" s="87"/>
    </row>
    <row r="20" spans="1:8" ht="15.75" customHeight="1" thickBot="1" x14ac:dyDescent="0.45">
      <c r="B20" s="275" t="s">
        <v>251</v>
      </c>
      <c r="C20" s="276" t="e">
        <f>C23*C22*(1/C21)</f>
        <v>#DIV/0!</v>
      </c>
      <c r="F20" s="87" t="s">
        <v>197</v>
      </c>
      <c r="G20" s="172">
        <v>0.15</v>
      </c>
    </row>
    <row r="21" spans="1:8" ht="15.75" customHeight="1" thickTop="1" x14ac:dyDescent="0.4">
      <c r="B21" s="277" t="s">
        <v>249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256</v>
      </c>
      <c r="C22" s="280" t="e">
        <f>Data!C48</f>
        <v>#DIV/0!</v>
      </c>
      <c r="F22" s="142" t="s">
        <v>171</v>
      </c>
    </row>
    <row r="23" spans="1:8" ht="15.75" customHeight="1" thickBot="1" x14ac:dyDescent="0.45">
      <c r="B23" s="281" t="s">
        <v>257</v>
      </c>
      <c r="C23" s="282">
        <f>Data!C13</f>
        <v>0.2099200315896334</v>
      </c>
      <c r="F23" s="140" t="s">
        <v>175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258</v>
      </c>
      <c r="C24" s="171">
        <f>Fin_Analysis!I81</f>
        <v>2.1757339633768379E-3</v>
      </c>
      <c r="F24" s="140" t="s">
        <v>241</v>
      </c>
      <c r="G24" s="268">
        <f>G3/(Fin_Analysis!H86*G7)</f>
        <v>26.210335724430497</v>
      </c>
    </row>
    <row r="25" spans="1:8" ht="15.75" customHeight="1" x14ac:dyDescent="0.4">
      <c r="B25" s="137" t="s">
        <v>259</v>
      </c>
      <c r="C25" s="171">
        <f>Fin_Analysis!I80</f>
        <v>0</v>
      </c>
      <c r="F25" s="140" t="s">
        <v>162</v>
      </c>
      <c r="G25" s="171">
        <f>Fin_Analysis!I88</f>
        <v>0.43026926927421749</v>
      </c>
    </row>
    <row r="26" spans="1:8" ht="15.75" customHeight="1" x14ac:dyDescent="0.4">
      <c r="B26" s="138" t="s">
        <v>260</v>
      </c>
      <c r="C26" s="171">
        <f>Fin_Analysis!I80+Fin_Analysis!I82</f>
        <v>0</v>
      </c>
      <c r="F26" s="141" t="s">
        <v>179</v>
      </c>
      <c r="G26" s="178">
        <f>Fin_Analysis!H88*Exchange_Rate/G3</f>
        <v>1.6416015185687458E-2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223</v>
      </c>
      <c r="G28" s="285" t="s">
        <v>240</v>
      </c>
      <c r="H28" s="285"/>
    </row>
    <row r="29" spans="1:8" ht="15.75" customHeight="1" x14ac:dyDescent="0.4">
      <c r="B29" s="87" t="s">
        <v>160</v>
      </c>
      <c r="C29" s="130">
        <f>IF(Fin_Analysis!C108="Profit",Fin_Analysis!D100,IF(Fin_Analysis!C108="Dividend",Fin_Analysis!D103,Fin_Analysis!D106))</f>
        <v>1.1836867943864464</v>
      </c>
      <c r="D29" s="129">
        <f>G29*(1+G20)</f>
        <v>2.1298841007773404</v>
      </c>
      <c r="E29" s="87"/>
      <c r="F29" s="131">
        <f>IF(Fin_Analysis!C108="Profit",Fin_Analysis!F100,IF(Fin_Analysis!C108="Dividend",Fin_Analysis!F103,Fin_Analysis!F106))</f>
        <v>1.3925726992781724</v>
      </c>
      <c r="G29" s="286">
        <f>IF(Fin_Analysis!C108="Profit",Fin_Analysis!I100,IF(Fin_Analysis!C108="Dividend",Fin_Analysis!I103,Fin_Analysis!I106))</f>
        <v>1.852073131110731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6" t="s">
        <v>209</v>
      </c>
      <c r="C32" s="224"/>
    </row>
    <row r="33" spans="1:3" ht="15.75" customHeight="1" x14ac:dyDescent="0.4">
      <c r="A33"/>
      <c r="B33" s="20" t="s">
        <v>210</v>
      </c>
      <c r="C33" s="245" t="str">
        <f>Inputs!C17</f>
        <v>Strongly agree</v>
      </c>
    </row>
    <row r="34" spans="1:3" ht="15.75" customHeight="1" x14ac:dyDescent="0.4">
      <c r="A34"/>
      <c r="B34" s="19" t="s">
        <v>211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212</v>
      </c>
      <c r="C35" s="224"/>
    </row>
    <row r="36" spans="1:3" ht="15.75" customHeight="1" x14ac:dyDescent="0.4">
      <c r="A36"/>
      <c r="B36" s="20" t="s">
        <v>224</v>
      </c>
      <c r="C36" s="245" t="str">
        <f>Inputs!C18</f>
        <v>unclear</v>
      </c>
    </row>
    <row r="37" spans="1:3" ht="15.75" customHeight="1" x14ac:dyDescent="0.4">
      <c r="A37"/>
      <c r="B37" s="20" t="s">
        <v>225</v>
      </c>
      <c r="C37" s="245" t="str">
        <f>Inputs!C19</f>
        <v>agree</v>
      </c>
    </row>
    <row r="38" spans="1:3" ht="15.75" customHeight="1" x14ac:dyDescent="0.4">
      <c r="A38"/>
      <c r="B38" s="196" t="s">
        <v>213</v>
      </c>
      <c r="C38" s="224"/>
    </row>
    <row r="39" spans="1:3" ht="15.75" customHeight="1" x14ac:dyDescent="0.4">
      <c r="A39"/>
      <c r="B39" s="19" t="s">
        <v>214</v>
      </c>
      <c r="C39" s="245" t="str">
        <f>Inputs!C20</f>
        <v>agree</v>
      </c>
    </row>
    <row r="40" spans="1:3" ht="15.75" customHeight="1" x14ac:dyDescent="0.4">
      <c r="A40"/>
      <c r="B40" s="1" t="s">
        <v>217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6" t="s">
        <v>216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185</v>
      </c>
      <c r="F2" s="119" t="s">
        <v>188</v>
      </c>
      <c r="G2" s="148" t="s">
        <v>189</v>
      </c>
      <c r="H2" s="147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186</v>
      </c>
      <c r="F3" s="85" t="str">
        <f>H14</f>
        <v/>
      </c>
      <c r="G3" s="85">
        <f>C14</f>
        <v>1466049353.6300006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</v>
      </c>
      <c r="D4" s="1" t="str">
        <f>Dashboard!G6</f>
        <v>CNY</v>
      </c>
      <c r="E4" s="146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6983846860.7700005</v>
      </c>
      <c r="D6" s="200">
        <f>IF(Inputs!D25="","",Inputs!D25)</f>
        <v>5210105771.0900002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0.34044243391798124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3398384261.9699998</v>
      </c>
      <c r="D8" s="199">
        <f>IF(Inputs!D26="","",Inputs!D26)</f>
        <v>3162230075.25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3585462598.8000007</v>
      </c>
      <c r="D9" s="151">
        <f t="shared" si="2"/>
        <v>2047875695.8400002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1191142720.1700001</v>
      </c>
      <c r="D10" s="199">
        <f>IF(Inputs!D27="","",Inputs!D27)</f>
        <v>1028568099.8399999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>
        <f>IF(Inputs!C28="","",Inputs!C28)</f>
        <v>863038653</v>
      </c>
      <c r="D11" s="199">
        <f>IF(Inputs!D28="","",Inputs!D28)</f>
        <v>701713632.36000001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9">
        <f>IF(Inputs!C30="","",MAX(Inputs!C30,0)/(1-Fin_Analysis!$I$84))</f>
        <v>65231872</v>
      </c>
      <c r="D12" s="199">
        <f>IF(Inputs!D30="","",MAX(Inputs!D30,0)/(1-Fin_Analysis!$I$84))</f>
        <v>70400849.61333333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227</v>
      </c>
      <c r="C13" s="229">
        <f t="shared" ref="C13:M13" si="3">IF(C14="","",C14/C6)</f>
        <v>0.2099200315896334</v>
      </c>
      <c r="D13" s="229">
        <f t="shared" si="3"/>
        <v>4.7444932000862604E-2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219</v>
      </c>
      <c r="C14" s="230">
        <f>IF(C6="","",C9-C10-MAX(C11,0)-MAX(C12,0))</f>
        <v>1466049353.6300006</v>
      </c>
      <c r="D14" s="230">
        <f t="shared" ref="D14:M14" si="4">IF(D6="","",D9-D10-MAX(D11,0)-MAX(D12,0))</f>
        <v>247193114.02666688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228</v>
      </c>
      <c r="C15" s="232">
        <f>IF(D14="","",IF(ABS(C14+D14)=ABS(C14)+ABS(D14),IF(C14&lt;0,-1,1)*(C14-D14)/D14,"Turn"))</f>
        <v>4.9307855698271803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9">
        <f>IF(Inputs!C29="","",Inputs!C29)</f>
        <v>15194992.810000001</v>
      </c>
      <c r="D17" s="199">
        <f>IF(Inputs!D29="","",Inputs!D29)</f>
        <v>12415189.01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1450854360.8200006</v>
      </c>
      <c r="D22" s="161">
        <f t="shared" ref="D22:M22" si="8">IF(D6="","",D14-MAX(D16,0)-MAX(D17,0)-ABS(MAX(D21,0)-MAX(D19,0)))</f>
        <v>234777925.01666689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0.15580822321969243</v>
      </c>
      <c r="D23" s="153">
        <f t="shared" si="9"/>
        <v>3.3796519974615018E-2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1088140770.6150005</v>
      </c>
      <c r="D24" s="77">
        <f>IF(D6="","",D22*(1-Fin_Analysis!$I$84))</f>
        <v>176083443.76250017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123</v>
      </c>
      <c r="C25" s="233">
        <f>IF(D24="","",IF(ABS(C24+D24)=ABS(C24)+ABS(D24),IF(C24&lt;0,-1,1)*(C24-D24)/D24,"Turn"))</f>
        <v>5.1796881487772088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9" t="str">
        <f>IF(Inputs!D35="","",Inputs!D35)</f>
        <v/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9" t="str">
        <f>IF(Inputs!D36="","",Inputs!D36)</f>
        <v/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262</v>
      </c>
      <c r="C30" s="65">
        <f>Inputs!C37</f>
        <v>0</v>
      </c>
      <c r="D30" s="199" t="str">
        <f>IF(Inputs!D37="","",Inputs!D37)</f>
        <v/>
      </c>
      <c r="E30" s="199" t="str">
        <f>IF(Inputs!E37="","",Inputs!E37)</f>
        <v/>
      </c>
      <c r="F30" s="199" t="str">
        <f>IF(Inputs!F37="","",Inputs!F37)</f>
        <v/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9" t="str">
        <f>IF(Inputs!D39="","",Inputs!D39)</f>
        <v/>
      </c>
      <c r="E31" s="199" t="str">
        <f>IF(Inputs!E39="","",Inputs!E39)</f>
        <v/>
      </c>
      <c r="F31" s="199" t="str">
        <f>IF(Inputs!F39="","",Inputs!F39)</f>
        <v/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9" t="str">
        <f>IF(Inputs!D40="","",Inputs!D40)</f>
        <v/>
      </c>
      <c r="E32" s="199" t="str">
        <f>IF(Inputs!E40="","",Inputs!E40)</f>
        <v/>
      </c>
      <c r="F32" s="199" t="str">
        <f>IF(Inputs!F40="","",Inputs!F40)</f>
        <v/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9" t="str">
        <f>IF(Inputs!D41="","",Inputs!D41)</f>
        <v/>
      </c>
      <c r="E34" s="199" t="str">
        <f>IF(Inputs!E41="","",Inputs!E41)</f>
        <v/>
      </c>
      <c r="F34" s="199" t="str">
        <f>IF(Inputs!F41="","",Inputs!F41)</f>
        <v/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9" t="str">
        <f>IF(Inputs!D42="","",Inputs!D42)</f>
        <v/>
      </c>
      <c r="E35" s="199" t="str">
        <f>IF(Inputs!E42="","",Inputs!E42)</f>
        <v/>
      </c>
      <c r="F35" s="199" t="str">
        <f>IF(Inputs!F42="","",Inputs!F42)</f>
        <v/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9" t="str">
        <f>IF(Inputs!D43="","",Inputs!D43)</f>
        <v/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5" t="e">
        <f>IF(C6="","",C14/MAX(C37,0))</f>
        <v>#DIV/0!</v>
      </c>
      <c r="D38" s="155" t="e">
        <f>IF(D6="","",D14/MAX(D37,0))</f>
        <v>#DIV/0!</v>
      </c>
      <c r="E38" s="155" t="str">
        <f>IF(E6="","",E14/MAX(E37,0))</f>
        <v/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246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6">
        <f t="shared" ref="C40:M40" si="34">IF(C6="","",C8/C6)</f>
        <v>0.48660635459513968</v>
      </c>
      <c r="D40" s="156">
        <f t="shared" si="34"/>
        <v>0.60694162732677759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3">
        <f t="shared" ref="C41:M41" si="35">IF(C6="","",(C10+MAX(C11,0))/C6)</f>
        <v>0.2941332211490556</v>
      </c>
      <c r="D41" s="153">
        <f t="shared" si="35"/>
        <v>0.33210107591309218</v>
      </c>
      <c r="E41" s="153" t="str">
        <f t="shared" si="35"/>
        <v/>
      </c>
      <c r="F41" s="153" t="str">
        <f t="shared" si="35"/>
        <v/>
      </c>
      <c r="G41" s="153" t="str">
        <f t="shared" si="35"/>
        <v/>
      </c>
      <c r="H41" s="153" t="str">
        <f t="shared" si="35"/>
        <v/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3">
        <f t="shared" ref="C42:M42" si="36">IF(C6="","",MAX(C16,0)/C6)</f>
        <v>0</v>
      </c>
      <c r="D42" s="153">
        <f t="shared" si="36"/>
        <v>0</v>
      </c>
      <c r="E42" s="153" t="str">
        <f t="shared" si="36"/>
        <v/>
      </c>
      <c r="F42" s="153" t="str">
        <f t="shared" si="36"/>
        <v/>
      </c>
      <c r="G42" s="153" t="str">
        <f t="shared" si="36"/>
        <v/>
      </c>
      <c r="H42" s="153" t="str">
        <f t="shared" si="36"/>
        <v/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3">
        <f t="shared" ref="C43:M43" si="37">IF(C6="","",MAX(C17,0)/C6)</f>
        <v>2.1757339633768379E-3</v>
      </c>
      <c r="D43" s="153">
        <f t="shared" si="37"/>
        <v>2.3829053680425824E-3</v>
      </c>
      <c r="E43" s="153" t="str">
        <f t="shared" si="37"/>
        <v/>
      </c>
      <c r="F43" s="153" t="str">
        <f t="shared" si="37"/>
        <v/>
      </c>
      <c r="G43" s="153" t="str">
        <f t="shared" si="37"/>
        <v/>
      </c>
      <c r="H43" s="153" t="str">
        <f t="shared" si="37"/>
        <v/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3">
        <f t="shared" ref="C44:M44" si="38">IF(C6="","",MAX(C12,0)/C6)</f>
        <v>9.3403926661713623E-3</v>
      </c>
      <c r="D44" s="153">
        <f t="shared" si="38"/>
        <v>1.3512364759267613E-2</v>
      </c>
      <c r="E44" s="153" t="str">
        <f t="shared" si="38"/>
        <v/>
      </c>
      <c r="F44" s="153" t="str">
        <f t="shared" si="38"/>
        <v/>
      </c>
      <c r="G44" s="153" t="str">
        <f t="shared" si="38"/>
        <v/>
      </c>
      <c r="H44" s="153" t="str">
        <f t="shared" si="38"/>
        <v/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3">
        <f t="shared" ref="C45:M45" si="39">IF(C6="","",ABS(MAX(C21,0)-MAX(C19,0))/C6)</f>
        <v>0</v>
      </c>
      <c r="D45" s="153">
        <f t="shared" si="39"/>
        <v>0</v>
      </c>
      <c r="E45" s="153" t="str">
        <f t="shared" si="39"/>
        <v/>
      </c>
      <c r="F45" s="153" t="str">
        <f t="shared" si="39"/>
        <v/>
      </c>
      <c r="G45" s="153" t="str">
        <f t="shared" si="39"/>
        <v/>
      </c>
      <c r="H45" s="153" t="str">
        <f t="shared" si="39"/>
        <v/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3">
        <f t="shared" ref="C46:M46" si="40">IF(C6="","",C22/C6)</f>
        <v>0.20774429762625657</v>
      </c>
      <c r="D46" s="153">
        <f t="shared" si="40"/>
        <v>4.5062026632820024E-2</v>
      </c>
      <c r="E46" s="153" t="str">
        <f t="shared" si="40"/>
        <v/>
      </c>
      <c r="F46" s="153" t="str">
        <f t="shared" si="40"/>
        <v/>
      </c>
      <c r="G46" s="153" t="str">
        <f t="shared" si="40"/>
        <v/>
      </c>
      <c r="H46" s="153" t="str">
        <f t="shared" si="40"/>
        <v/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247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253</v>
      </c>
      <c r="C48" s="272" t="e">
        <f t="shared" ref="C48:M48" si="41">IF(C6="","",C6/C27)</f>
        <v>#DIV/0!</v>
      </c>
      <c r="D48" s="272" t="e">
        <f t="shared" si="41"/>
        <v>#VALUE!</v>
      </c>
      <c r="E48" s="272" t="str">
        <f t="shared" si="41"/>
        <v/>
      </c>
      <c r="F48" s="272" t="str">
        <f t="shared" si="41"/>
        <v/>
      </c>
      <c r="G48" s="272" t="str">
        <f t="shared" si="41"/>
        <v/>
      </c>
      <c r="H48" s="272" t="str">
        <f t="shared" si="41"/>
        <v/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254</v>
      </c>
      <c r="C49" s="153">
        <f t="shared" ref="C49:M49" si="42">IF(C28="","",C28/C6)</f>
        <v>0</v>
      </c>
      <c r="D49" s="153" t="str">
        <f t="shared" si="42"/>
        <v/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255</v>
      </c>
      <c r="C50" s="153">
        <f t="shared" ref="C50:M50" si="43">IF(C29="","",C29/C6)</f>
        <v>0</v>
      </c>
      <c r="D50" s="153" t="str">
        <f t="shared" si="43"/>
        <v/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245</v>
      </c>
      <c r="C51" s="153" t="e">
        <f t="shared" ref="C51:M51" si="44">IF(D6="","",C16/(C6-D6))</f>
        <v>#VALUE!</v>
      </c>
      <c r="D51" s="153" t="str">
        <f t="shared" si="44"/>
        <v/>
      </c>
      <c r="E51" s="153" t="str">
        <f t="shared" si="44"/>
        <v/>
      </c>
      <c r="F51" s="153" t="str">
        <f t="shared" si="44"/>
        <v/>
      </c>
      <c r="G51" s="153" t="str">
        <f t="shared" si="44"/>
        <v/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248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249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116</v>
      </c>
      <c r="C54" s="157" t="str">
        <f t="shared" ref="C54:M54" si="46">IF(OR(C22="",C33=""),"",IF(C33&lt;=0,"-",C22/C33))</f>
        <v>-</v>
      </c>
      <c r="D54" s="157" t="str">
        <f t="shared" si="46"/>
        <v/>
      </c>
      <c r="E54" s="157" t="str">
        <f t="shared" si="46"/>
        <v/>
      </c>
      <c r="F54" s="157" t="str">
        <f t="shared" si="46"/>
        <v/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118</v>
      </c>
      <c r="C55" s="153">
        <f t="shared" ref="C55:M55" si="47">IF(C22="","",IF(MAX(C17,0)&lt;=0,"-",C17/C22))</f>
        <v>1.0473134465000349E-2</v>
      </c>
      <c r="D55" s="153">
        <f t="shared" si="47"/>
        <v>5.2880563660823929E-2</v>
      </c>
      <c r="E55" s="153" t="str">
        <f t="shared" si="47"/>
        <v/>
      </c>
      <c r="F55" s="153" t="str">
        <f t="shared" si="47"/>
        <v/>
      </c>
      <c r="G55" s="153" t="str">
        <f t="shared" si="47"/>
        <v/>
      </c>
      <c r="H55" s="153" t="str">
        <f t="shared" si="47"/>
        <v/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19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250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251</v>
      </c>
      <c r="C58" s="274" t="e">
        <f t="shared" ref="C58:M58" si="49">IF(C14="","",C14/(C34-C35))</f>
        <v>#DIV/0!</v>
      </c>
      <c r="D58" s="274" t="e">
        <f t="shared" si="49"/>
        <v>#VALUE!</v>
      </c>
      <c r="E58" s="274" t="str">
        <f t="shared" si="49"/>
        <v/>
      </c>
      <c r="F58" s="274" t="str">
        <f t="shared" si="49"/>
        <v/>
      </c>
      <c r="G58" s="274" t="str">
        <f t="shared" si="49"/>
        <v/>
      </c>
      <c r="H58" s="274" t="str">
        <f t="shared" si="49"/>
        <v/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252</v>
      </c>
      <c r="C59" s="274" t="e">
        <f t="shared" ref="C59:M59" si="50">IF(C22="","",C22/(C34-C35))</f>
        <v>#DIV/0!</v>
      </c>
      <c r="D59" s="274" t="e">
        <f t="shared" si="50"/>
        <v>#VALUE!</v>
      </c>
      <c r="E59" s="274" t="str">
        <f t="shared" si="50"/>
        <v/>
      </c>
      <c r="F59" s="274" t="str">
        <f t="shared" si="50"/>
        <v/>
      </c>
      <c r="G59" s="274" t="str">
        <f t="shared" si="50"/>
        <v/>
      </c>
      <c r="H59" s="274" t="str">
        <f t="shared" si="50"/>
        <v/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143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144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6983846860.7700005</v>
      </c>
      <c r="D74" s="209"/>
      <c r="E74" s="238">
        <f>Inputs!E91</f>
        <v>6983846860.7700005</v>
      </c>
      <c r="F74" s="209"/>
      <c r="H74" s="238">
        <f>Inputs!F91</f>
        <v>6983846860.7700005</v>
      </c>
      <c r="I74" s="209"/>
      <c r="K74" s="24"/>
    </row>
    <row r="75" spans="1:11" ht="15" customHeight="1" x14ac:dyDescent="0.4">
      <c r="B75" s="104" t="s">
        <v>102</v>
      </c>
      <c r="C75" s="77">
        <f>Data!C8</f>
        <v>3398384261.9699998</v>
      </c>
      <c r="D75" s="159">
        <f>C75/$C$74</f>
        <v>0.48660635459513968</v>
      </c>
      <c r="E75" s="238">
        <f>Inputs!E92</f>
        <v>3398384261.9699998</v>
      </c>
      <c r="F75" s="160">
        <f>E75/E74</f>
        <v>0.48660635459513968</v>
      </c>
      <c r="H75" s="238">
        <f>Inputs!F92</f>
        <v>3398384261.9699998</v>
      </c>
      <c r="I75" s="160">
        <f>H75/$H$74</f>
        <v>0.48660635459513968</v>
      </c>
      <c r="K75" s="24"/>
    </row>
    <row r="76" spans="1:11" ht="15" customHeight="1" x14ac:dyDescent="0.4">
      <c r="B76" s="35" t="s">
        <v>92</v>
      </c>
      <c r="C76" s="161">
        <f>C74-C75</f>
        <v>3585462598.8000007</v>
      </c>
      <c r="D76" s="210"/>
      <c r="E76" s="162">
        <f>E74-E75</f>
        <v>3585462598.8000007</v>
      </c>
      <c r="F76" s="210"/>
      <c r="H76" s="162">
        <f>H74-H75</f>
        <v>3585462598.8000007</v>
      </c>
      <c r="I76" s="210"/>
      <c r="K76" s="24"/>
    </row>
    <row r="77" spans="1:11" ht="15" customHeight="1" x14ac:dyDescent="0.4">
      <c r="B77" s="104" t="s">
        <v>231</v>
      </c>
      <c r="C77" s="77">
        <f>Data!C10+MAX(Data!C11,0)</f>
        <v>2054181373.1700001</v>
      </c>
      <c r="D77" s="159">
        <f>C77/$C$74</f>
        <v>0.2941332211490556</v>
      </c>
      <c r="E77" s="238">
        <f>Inputs!E93</f>
        <v>2054181373.1700003</v>
      </c>
      <c r="F77" s="160">
        <f>E77/E74</f>
        <v>0.2941332211490556</v>
      </c>
      <c r="H77" s="238">
        <f>Inputs!F93</f>
        <v>2054181373.1700003</v>
      </c>
      <c r="I77" s="160">
        <f>H77/$H$74</f>
        <v>0.2941332211490556</v>
      </c>
      <c r="K77" s="24"/>
    </row>
    <row r="78" spans="1:11" ht="15" customHeight="1" x14ac:dyDescent="0.4">
      <c r="B78" s="73" t="s">
        <v>161</v>
      </c>
      <c r="C78" s="77">
        <f>MAX(Data!C12,0)</f>
        <v>65231872</v>
      </c>
      <c r="D78" s="159">
        <f>C78/$C$74</f>
        <v>9.3403926661713623E-3</v>
      </c>
      <c r="E78" s="180">
        <f>E74*F78</f>
        <v>65231872</v>
      </c>
      <c r="F78" s="160">
        <f>I78</f>
        <v>9.3403926661713623E-3</v>
      </c>
      <c r="H78" s="238">
        <f>Inputs!F97</f>
        <v>65231872</v>
      </c>
      <c r="I78" s="160">
        <f>H78/$H$74</f>
        <v>9.3403926661713623E-3</v>
      </c>
      <c r="K78" s="24"/>
    </row>
    <row r="79" spans="1:11" ht="15" customHeight="1" x14ac:dyDescent="0.4">
      <c r="B79" s="256" t="s">
        <v>218</v>
      </c>
      <c r="C79" s="257">
        <f>C76-C77-C78</f>
        <v>1466049353.6300006</v>
      </c>
      <c r="D79" s="258">
        <f>C79/C74</f>
        <v>0.2099200315896334</v>
      </c>
      <c r="E79" s="259">
        <f>E76-E77-E78</f>
        <v>1466049353.6300004</v>
      </c>
      <c r="F79" s="258">
        <f>E79/E74</f>
        <v>0.20992003158963338</v>
      </c>
      <c r="G79" s="260"/>
      <c r="H79" s="259">
        <f>H76-H77-H78</f>
        <v>1466049353.6300004</v>
      </c>
      <c r="I79" s="258">
        <f>H79/H74</f>
        <v>0.20992003158963338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126</v>
      </c>
    </row>
    <row r="81" spans="1:11" ht="15" customHeight="1" x14ac:dyDescent="0.4">
      <c r="B81" s="104" t="s">
        <v>239</v>
      </c>
      <c r="C81" s="77">
        <f>MAX(Data!C17,0)</f>
        <v>15194992.810000001</v>
      </c>
      <c r="D81" s="159">
        <f>C81/$C$74</f>
        <v>2.1757339633768379E-3</v>
      </c>
      <c r="E81" s="180">
        <f>E74*F81</f>
        <v>15194992.810000001</v>
      </c>
      <c r="F81" s="160">
        <f>I81</f>
        <v>2.1757339633768379E-3</v>
      </c>
      <c r="H81" s="238">
        <f>Inputs!F94</f>
        <v>15194992.810000001</v>
      </c>
      <c r="I81" s="160">
        <f>H81/$H$74</f>
        <v>2.1757339633768379E-3</v>
      </c>
      <c r="K81" s="24"/>
    </row>
    <row r="82" spans="1:11" ht="15" customHeight="1" x14ac:dyDescent="0.4">
      <c r="B82" s="28" t="s">
        <v>230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120</v>
      </c>
      <c r="C83" s="163">
        <f>C79-C81-C82-C80</f>
        <v>1450854360.8200006</v>
      </c>
      <c r="D83" s="164">
        <f>C83/$C$74</f>
        <v>0.20774429762625657</v>
      </c>
      <c r="E83" s="165">
        <f>E79-E81-E82-E80</f>
        <v>1450854360.8200004</v>
      </c>
      <c r="F83" s="164">
        <f>E83/E74</f>
        <v>0.20774429762625654</v>
      </c>
      <c r="H83" s="165">
        <f>H79-H81-H82-H80</f>
        <v>1450854360.8200004</v>
      </c>
      <c r="I83" s="164">
        <f>H83/$H$74</f>
        <v>0.20774429762625654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156</v>
      </c>
      <c r="C85" s="257">
        <f>C83*(1-I84)</f>
        <v>1088140770.6150005</v>
      </c>
      <c r="D85" s="258">
        <f>C85/$C$74</f>
        <v>0.15580822321969243</v>
      </c>
      <c r="E85" s="264">
        <f>E83*(1-F84)</f>
        <v>1088140770.6150002</v>
      </c>
      <c r="F85" s="258">
        <f>E85/E74</f>
        <v>0.1558082232196924</v>
      </c>
      <c r="G85" s="260"/>
      <c r="H85" s="264">
        <f>H83*(1-I84)</f>
        <v>1088140770.6150002</v>
      </c>
      <c r="I85" s="258">
        <f>H85/$H$74</f>
        <v>0.1558082232196924</v>
      </c>
      <c r="K85" s="24"/>
    </row>
    <row r="86" spans="1:11" ht="15" customHeight="1" x14ac:dyDescent="0.4">
      <c r="B86" s="87" t="s">
        <v>152</v>
      </c>
      <c r="C86" s="167">
        <f>C85*Data!C4/Common_Shares</f>
        <v>0.37186016159111168</v>
      </c>
      <c r="D86" s="209"/>
      <c r="E86" s="168">
        <f>E85*Data!C4/Common_Shares</f>
        <v>0.37186016159111157</v>
      </c>
      <c r="F86" s="209"/>
      <c r="H86" s="168">
        <f>H85*Data!C4/Common_Shares</f>
        <v>0.37186016159111157</v>
      </c>
      <c r="I86" s="209"/>
      <c r="K86" s="24"/>
    </row>
    <row r="87" spans="1:11" ht="15" customHeight="1" x14ac:dyDescent="0.4">
      <c r="B87" s="87" t="s">
        <v>194</v>
      </c>
      <c r="C87" s="261">
        <f>C86*Exchange_Rate/Dashboard!G3</f>
        <v>3.815288787269925E-2</v>
      </c>
      <c r="D87" s="209"/>
      <c r="E87" s="262">
        <f>E86*Exchange_Rate/Dashboard!G3</f>
        <v>3.8152887872699243E-2</v>
      </c>
      <c r="F87" s="209"/>
      <c r="H87" s="262">
        <f>H86*Exchange_Rate/Dashboard!G3</f>
        <v>3.8152887872699243E-2</v>
      </c>
      <c r="I87" s="209"/>
      <c r="K87" s="24"/>
    </row>
    <row r="88" spans="1:11" ht="15" customHeight="1" x14ac:dyDescent="0.4">
      <c r="B88" s="86" t="s">
        <v>193</v>
      </c>
      <c r="C88" s="169">
        <f>Inputs!C44</f>
        <v>0.16</v>
      </c>
      <c r="D88" s="166">
        <f>C88/C86</f>
        <v>0.43026926927421733</v>
      </c>
      <c r="E88" s="170">
        <f>Inputs!E98</f>
        <v>0.16</v>
      </c>
      <c r="F88" s="166">
        <f>E88/E86</f>
        <v>0.43026926927421749</v>
      </c>
      <c r="H88" s="170">
        <f>Inputs!F98</f>
        <v>0.16</v>
      </c>
      <c r="I88" s="166">
        <f>H88/H86</f>
        <v>0.43026926927421749</v>
      </c>
      <c r="K88" s="24"/>
    </row>
    <row r="89" spans="1:11" ht="15" customHeight="1" x14ac:dyDescent="0.4">
      <c r="B89" s="87" t="s">
        <v>207</v>
      </c>
      <c r="C89" s="261">
        <f>C88*Exchange_Rate/Dashboard!G3</f>
        <v>1.6416015185687458E-2</v>
      </c>
      <c r="D89" s="209"/>
      <c r="E89" s="261">
        <f>E88*Exchange_Rate/Dashboard!G3</f>
        <v>1.6416015185687458E-2</v>
      </c>
      <c r="F89" s="209"/>
      <c r="H89" s="261">
        <f>H88*Exchange_Rate/Dashboard!G3</f>
        <v>1.6416015185687458E-2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8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195</v>
      </c>
      <c r="F93" s="144">
        <f>FV(E87,D93,0,-(E86/(C93-D94)))*Exchange_Rate</f>
        <v>7.2362878554612902</v>
      </c>
      <c r="H93" s="87" t="s">
        <v>195</v>
      </c>
      <c r="I93" s="144">
        <f>FV(H87,D93,0,-(H86/(C93-D94)))*Exchange_Rate</f>
        <v>7.2362878554612902</v>
      </c>
      <c r="K93" s="24"/>
    </row>
    <row r="94" spans="1:11" ht="15" customHeight="1" x14ac:dyDescent="0.4">
      <c r="B94" s="1" t="s">
        <v>197</v>
      </c>
      <c r="C94" s="182">
        <f>Dashboard!G20</f>
        <v>0.15</v>
      </c>
      <c r="D94" s="270">
        <f>Inputs!D87</f>
        <v>0.02</v>
      </c>
      <c r="E94" s="87" t="s">
        <v>196</v>
      </c>
      <c r="F94" s="144">
        <f>FV(E89,D93,0,-(E88/(C93-D94)))*Exchange_Rate</f>
        <v>2.8009611078094272</v>
      </c>
      <c r="H94" s="87" t="s">
        <v>196</v>
      </c>
      <c r="I94" s="144">
        <f>FV(H89,D93,0,-(H88/(C93-D94)))*Exchange_Rate</f>
        <v>2.8009611078094272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199</v>
      </c>
      <c r="E96" s="183" t="str">
        <f>E72</f>
        <v>Pessimistic Case</v>
      </c>
      <c r="F96" s="227" t="s">
        <v>223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10527665122.341717</v>
      </c>
      <c r="D97" s="213"/>
      <c r="E97" s="123">
        <f>PV(C94,D93,0,-F93)</f>
        <v>3.5977139716569075</v>
      </c>
      <c r="F97" s="213"/>
      <c r="H97" s="123">
        <f>PV(C94,D93,0,-I93)</f>
        <v>3.5977139716569075</v>
      </c>
      <c r="I97" s="123">
        <f>PV(C93,D93,0,-I93)</f>
        <v>4.784834130226205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10527665122.341717</v>
      </c>
      <c r="D100" s="109">
        <f>MIN(F100*(1-C94),E100)</f>
        <v>3.0580568759083713</v>
      </c>
      <c r="E100" s="109">
        <f>MAX(E97+H98+E99,0)</f>
        <v>3.5977139716569075</v>
      </c>
      <c r="F100" s="109">
        <f>(E100+H100)/2</f>
        <v>3.5977139716569075</v>
      </c>
      <c r="H100" s="109">
        <f>MAX(C100*Data!$C$4/Common_Shares,0)</f>
        <v>3.5977139716569075</v>
      </c>
      <c r="I100" s="109">
        <f>MAX(I97+H98+H99,0)</f>
        <v>4.784834130226205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7" t="str">
        <f>C96</f>
        <v>HKD</v>
      </c>
      <c r="D102" s="124" t="s">
        <v>199</v>
      </c>
      <c r="E102" s="183" t="str">
        <f>E96</f>
        <v>Pessimistic Case</v>
      </c>
      <c r="F102" s="227" t="s">
        <v>223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4074959586.0074015</v>
      </c>
      <c r="D103" s="109">
        <f>MIN(F103*(1-C94),E103)</f>
        <v>1.1836867943864464</v>
      </c>
      <c r="E103" s="123">
        <f>PV(C94,D93,0,-F94)</f>
        <v>1.3925726992781724</v>
      </c>
      <c r="F103" s="109">
        <f>(E103+H103)/2</f>
        <v>1.3925726992781724</v>
      </c>
      <c r="H103" s="123">
        <f>PV(C94,D93,0,-I94)</f>
        <v>1.3925726992781724</v>
      </c>
      <c r="I103" s="109">
        <f>PV(C93,D93,0,-I94)</f>
        <v>1.852073131110731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7" t="str">
        <f>C102</f>
        <v>HKD</v>
      </c>
      <c r="D105" s="124" t="s">
        <v>199</v>
      </c>
      <c r="E105" s="184" t="str">
        <f>E96</f>
        <v>Pessimistic Case</v>
      </c>
      <c r="F105" s="227" t="s">
        <v>223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7301312354.1745596</v>
      </c>
      <c r="D106" s="109">
        <f>(D100+D103)/2</f>
        <v>2.1208718351474087</v>
      </c>
      <c r="E106" s="123">
        <f>(E100+E103)/2</f>
        <v>2.4951433354675401</v>
      </c>
      <c r="F106" s="109">
        <f>(F100+F103)/2</f>
        <v>2.4951433354675401</v>
      </c>
      <c r="H106" s="123">
        <f>(H100+H103)/2</f>
        <v>2.4951433354675401</v>
      </c>
      <c r="I106" s="123">
        <f>(I100+I103)/2</f>
        <v>3.318453630668468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2024-12-16T09:19:17Z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