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ED604C-3811-4744-9E79-3D02B05377E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8" i="2" s="1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B37" i="4"/>
  <c r="C36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F96" i="4"/>
  <c r="E92" i="4"/>
  <c r="F97" i="4"/>
  <c r="D27" i="2"/>
  <c r="D37" i="2" s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<sst xmlns="http://schemas.openxmlformats.org/spreadsheetml/2006/main" count="389" uniqueCount="274">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</sst>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268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9267407258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271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272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3.4/Exchange_Rate</f>
        <v>3.1802659217533233</v>
      </c>
      <c r="D44" s="250">
        <f>2.4/Exchange_Rate</f>
        <v>2.2448935918258752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8.3826429980276129E-3</v>
      </c>
      <c r="D45" s="152">
        <f>IF(D44="","",D44*Exchange_Rate/Dashboard!$G$3)</f>
        <v>5.9171597633136093E-3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130</v>
      </c>
      <c r="C49" s="59">
        <v>3408</v>
      </c>
      <c r="D49" s="60">
        <v>0.8</v>
      </c>
      <c r="E49" s="112"/>
    </row>
    <row r="50" spans="2:5" ht="13.9" x14ac:dyDescent="0.4">
      <c r="B50" s="3" t="s">
        <v>112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40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>
        <v>92844</v>
      </c>
      <c r="D54" s="60">
        <v>0.1</v>
      </c>
      <c r="E54" s="112"/>
    </row>
    <row r="55" spans="2:5" ht="13.9" x14ac:dyDescent="0.4">
      <c r="B55" s="3" t="s">
        <v>43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f>262961+7221</f>
        <v>270182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659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13463</v>
      </c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177621</v>
      </c>
      <c r="D70" s="60">
        <v>0.05</v>
      </c>
      <c r="E70" s="112"/>
    </row>
    <row r="71" spans="2:5" ht="13.9" x14ac:dyDescent="0.4">
      <c r="B71" s="3" t="s">
        <v>71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>
        <v>52462</v>
      </c>
    </row>
    <row r="74" spans="2:5" ht="13.9" x14ac:dyDescent="0.4">
      <c r="B74" s="3" t="s">
        <v>36</v>
      </c>
      <c r="C74" s="59">
        <v>5999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58</v>
      </c>
      <c r="C78" s="59">
        <v>152946</v>
      </c>
    </row>
    <row r="79" spans="2:5" ht="13.9" x14ac:dyDescent="0.4">
      <c r="B79" s="3" t="s">
        <v>60</v>
      </c>
      <c r="C79" s="59">
        <v>14979</v>
      </c>
    </row>
    <row r="80" spans="2:5" ht="13.9" x14ac:dyDescent="0.4">
      <c r="B80" s="3" t="s">
        <v>62</v>
      </c>
      <c r="C80" s="59">
        <v>0</v>
      </c>
    </row>
    <row r="81" spans="2:8" ht="13.9" x14ac:dyDescent="0.4">
      <c r="B81" s="86" t="s">
        <v>63</v>
      </c>
      <c r="C81" s="120">
        <v>86574</v>
      </c>
    </row>
    <row r="82" spans="2:8" ht="14.25" thickBot="1" x14ac:dyDescent="0.45">
      <c r="B82" s="80" t="s">
        <v>81</v>
      </c>
      <c r="C82" s="83">
        <v>339547</v>
      </c>
    </row>
    <row r="83" spans="2:8" ht="14.25" thickTop="1" x14ac:dyDescent="0.4">
      <c r="B83" s="73" t="s">
        <v>206</v>
      </c>
      <c r="C83" s="59">
        <v>860681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102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231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240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193</v>
      </c>
      <c r="C98" s="237">
        <f>C44</f>
        <v>3.1802659217533233</v>
      </c>
      <c r="D98" s="266"/>
      <c r="E98" s="254">
        <f>F98</f>
        <v>3.1802659217533233</v>
      </c>
      <c r="F98" s="254">
        <f>C98</f>
        <v>3.1802659217533233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0700.HK</v>
      </c>
      <c r="D3" s="290"/>
      <c r="E3" s="87"/>
      <c r="F3" s="3" t="s">
        <v>1</v>
      </c>
      <c r="G3" s="132">
        <v>405.6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騰訊控股</v>
      </c>
      <c r="D4" s="292"/>
      <c r="E4" s="87"/>
      <c r="F4" s="3" t="s">
        <v>2</v>
      </c>
      <c r="G4" s="295">
        <f>Inputs!C10</f>
        <v>9267407258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3758860.3838448003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0.24892161933614115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2.0144003021272054E-2</v>
      </c>
      <c r="F24" s="140" t="s">
        <v>242</v>
      </c>
      <c r="G24" s="268">
        <f>G3/(Fin_Analysis!H86*G7)</f>
        <v>33.646347806117348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0.28204532184615128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179</v>
      </c>
      <c r="G26" s="178">
        <f>Fin_Analysis!H88*Exchange_Rate/G3</f>
        <v>8.3826429980276129E-3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agree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52250</v>
      </c>
      <c r="D28" s="199">
        <f>IF(Inputs!D35="","",Inputs!D35)</f>
        <v>431184</v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4387</v>
      </c>
      <c r="D29" s="199">
        <f>IF(Inputs!D36="","",Inputs!D36)</f>
        <v>2258059</v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>
        <f>IF(Inputs!D37="","",Inputs!D37)</f>
        <v>7382230</v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58461</v>
      </c>
      <c r="D31" s="199">
        <f>IF(Inputs!D39="","",Inputs!D39)</f>
        <v>592316</v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254499</v>
      </c>
      <c r="D32" s="199">
        <f>IF(Inputs!D40="","",Inputs!D40)</f>
        <v>1044096</v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312960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>
        <f>IF(Inputs!D41="","",Inputs!D41)</f>
        <v>26334346</v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>
        <f>IF(Inputs!D42="","",Inputs!D42)</f>
        <v>1389487</v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>
        <f>IF(Inputs!D43="","",Inputs!D43)</f>
        <v>19968596</v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502459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0.30171018928907634</v>
      </c>
      <c r="D38" s="155">
        <f>IF(D6="","",D14/MAX(D37,0))</f>
        <v>7.4337951223864647E-3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0.51871628777616319</v>
      </c>
      <c r="D40" s="156">
        <f t="shared" si="34"/>
        <v>0.56947950778285894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0.22616191719415779</v>
      </c>
      <c r="D41" s="153">
        <f t="shared" si="35"/>
        <v>0.2451077626624735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2.0144003021272054E-2</v>
      </c>
      <c r="D43" s="153">
        <f t="shared" si="37"/>
        <v>1.686406324384368E-2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6.2001756935379264E-3</v>
      </c>
      <c r="D44" s="153">
        <f t="shared" si="38"/>
        <v>1.1204239337940056E-3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0.22877761631486909</v>
      </c>
      <c r="D46" s="153">
        <f t="shared" si="40"/>
        <v>0.16742824237702988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>
        <f t="shared" si="41"/>
        <v>1.6447458959059188E-2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8.5794274361058437E-2</v>
      </c>
      <c r="D49" s="153">
        <f t="shared" si="42"/>
        <v>0.77753574056175079</v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7.2034350549658056E-3</v>
      </c>
      <c r="D50" s="153">
        <f t="shared" si="43"/>
        <v>4.071861610813774</v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0.44519746932515336</v>
      </c>
      <c r="D54" s="157">
        <f t="shared" si="46"/>
        <v>5.6738563800966181E-2</v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8.8050585305284618E-2</v>
      </c>
      <c r="D55" s="153">
        <f t="shared" si="47"/>
        <v>0.10072412517995426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>
        <f t="shared" si="49"/>
        <v>4.0970232249725952E-3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>
        <f t="shared" si="50"/>
        <v>3.7221163152963369E-3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860681</v>
      </c>
      <c r="K3" s="24"/>
    </row>
    <row r="4" spans="1:11" ht="15" customHeight="1" x14ac:dyDescent="0.4">
      <c r="B4" s="3" t="s">
        <v>23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1.3450387544929943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35</v>
      </c>
      <c r="I11" s="40">
        <f>Inputs!C73</f>
        <v>52462</v>
      </c>
      <c r="J11" s="87"/>
      <c r="K11" s="24"/>
    </row>
    <row r="12" spans="1:11" ht="13.9" x14ac:dyDescent="0.4">
      <c r="B12" s="1" t="s">
        <v>130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36</v>
      </c>
      <c r="I12" s="40">
        <f>Inputs!C74</f>
        <v>5999</v>
      </c>
      <c r="J12" s="87"/>
      <c r="K12" s="24"/>
    </row>
    <row r="13" spans="1:11" ht="13.9" x14ac:dyDescent="0.4">
      <c r="B13" s="3" t="s">
        <v>112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50</v>
      </c>
      <c r="I15" s="84">
        <f>SUM(I11:I14)</f>
        <v>58461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51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52</v>
      </c>
      <c r="I25" s="63">
        <f>E28/I28</f>
        <v>0.96007513678814749</v>
      </c>
    </row>
    <row r="26" spans="2:10" ht="15" customHeight="1" x14ac:dyDescent="0.4">
      <c r="B26" s="23" t="s">
        <v>53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54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152946</v>
      </c>
      <c r="J30" s="87"/>
    </row>
    <row r="31" spans="2:10" ht="15" customHeight="1" x14ac:dyDescent="0.4">
      <c r="B31" s="3" t="s">
        <v>59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60</v>
      </c>
      <c r="I31" s="40">
        <f>Inputs!C79</f>
        <v>14979</v>
      </c>
      <c r="J31" s="87"/>
    </row>
    <row r="32" spans="2:10" ht="15" customHeight="1" x14ac:dyDescent="0.4">
      <c r="B32" s="3" t="s">
        <v>61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86574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254499</v>
      </c>
      <c r="J34" s="87"/>
    </row>
    <row r="35" spans="2:10" ht="13.9" x14ac:dyDescent="0.4">
      <c r="B35" s="3" t="s">
        <v>66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77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79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81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82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66916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312960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102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92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161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218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152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2.9720907771695414E-2</v>
      </c>
      <c r="D87" s="209"/>
      <c r="E87" s="262">
        <f>E86*Exchange_Rate/Dashboard!G3</f>
        <v>2.9720907771695414E-2</v>
      </c>
      <c r="F87" s="209"/>
      <c r="H87" s="262">
        <f>H86*Exchange_Rate/Dashboard!G3</f>
        <v>2.9720907771695414E-2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3.1802659217533233</v>
      </c>
      <c r="D88" s="166">
        <f>C88/C86</f>
        <v>0.28204532184615128</v>
      </c>
      <c r="E88" s="170">
        <f>Inputs!E98</f>
        <v>3.1802659217533233</v>
      </c>
      <c r="F88" s="166">
        <f>E88/E86</f>
        <v>0.28204532184615128</v>
      </c>
      <c r="H88" s="170">
        <f>Inputs!F98</f>
        <v>3.1802659217533233</v>
      </c>
      <c r="I88" s="166">
        <f>H88/H86</f>
        <v>0.28204532184615128</v>
      </c>
      <c r="K88" s="24"/>
    </row>
    <row r="89" spans="1:11" ht="15" customHeight="1" x14ac:dyDescent="0.4">
      <c r="B89" s="87" t="s">
        <v>207</v>
      </c>
      <c r="C89" s="261">
        <f>C88*Exchange_Rate/Dashboard!G3</f>
        <v>8.3826429980276129E-3</v>
      </c>
      <c r="D89" s="209"/>
      <c r="E89" s="261">
        <f>E88*Exchange_Rate/Dashboard!G3</f>
        <v>8.3826429980276129E-3</v>
      </c>
      <c r="F89" s="209"/>
      <c r="H89" s="261">
        <f>H88*Exchange_Rate/Dashboard!G3</f>
        <v>8.3826429980276129E-3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210.65500794378696</v>
      </c>
      <c r="H93" s="87" t="s">
        <v>195</v>
      </c>
      <c r="I93" s="144">
        <f>FV(H87,D93,0,-(H86/(C93-D94)))*Exchange_Rate</f>
        <v>210.65500794378696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53.508138539546614</v>
      </c>
      <c r="H94" s="87" t="s">
        <v>196</v>
      </c>
      <c r="I94" s="144">
        <f>FV(H89,D93,0,-(H88/(C93-D94)))*Exchange_Rate</f>
        <v>53.508138539546614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970601.22472766892</v>
      </c>
      <c r="D97" s="213"/>
      <c r="E97" s="123">
        <f>PV(C94,D93,0,-F93)</f>
        <v>104.73276912372732</v>
      </c>
      <c r="F97" s="213"/>
      <c r="H97" s="123">
        <f>PV(C94,D93,0,-I93)</f>
        <v>104.73276912372732</v>
      </c>
      <c r="I97" s="123">
        <f>PV(C93,D93,0,-I93)</f>
        <v>139.29093090897373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246540.85039953352</v>
      </c>
      <c r="D103" s="109">
        <f>MIN(F103*(1-C94),E103)</f>
        <v>22.61255138633333</v>
      </c>
      <c r="E103" s="123">
        <f>PV(C94,D93,0,-F94)</f>
        <v>26.603001630980391</v>
      </c>
      <c r="F103" s="109">
        <f>(E103+H103)/2</f>
        <v>26.603001630980391</v>
      </c>
      <c r="H103" s="123">
        <f>PV(C94,D93,0,-I94)</f>
        <v>26.603001630980391</v>
      </c>
      <c r="I103" s="109">
        <f>PV(C93,D93,0,-I94)</f>
        <v>35.381064524080337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