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0390B4-5102-4D80-8500-51D74A63AEB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<sst xmlns="http://schemas.openxmlformats.org/spreadsheetml/2006/main" count="389" uniqueCount="274">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</sst>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176008471024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271</v>
      </c>
      <c r="D17" s="24"/>
    </row>
    <row r="18" spans="2:13" ht="13.9" x14ac:dyDescent="0.4">
      <c r="B18" s="240" t="s">
        <v>224</v>
      </c>
      <c r="C18" s="242" t="s">
        <v>271</v>
      </c>
      <c r="D18" s="24"/>
    </row>
    <row r="19" spans="2:13" ht="13.9" x14ac:dyDescent="0.4">
      <c r="B19" s="240" t="s">
        <v>225</v>
      </c>
      <c r="C19" s="242" t="s">
        <v>271</v>
      </c>
      <c r="D19" s="24"/>
    </row>
    <row r="20" spans="2:13" ht="13.9" x14ac:dyDescent="0.4">
      <c r="B20" s="241" t="s">
        <v>214</v>
      </c>
      <c r="C20" s="242" t="s">
        <v>271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4.7363761869045569E-2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102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231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240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0788.HK</v>
      </c>
      <c r="D3" s="290"/>
      <c r="E3" s="87"/>
      <c r="F3" s="3" t="s">
        <v>1</v>
      </c>
      <c r="G3" s="132">
        <v>1.0900000000000001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中国铁塔</v>
      </c>
      <c r="D4" s="292"/>
      <c r="E4" s="87"/>
      <c r="F4" s="3" t="s">
        <v>2</v>
      </c>
      <c r="G4" s="295">
        <f>Inputs!C10</f>
        <v>176008471024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191849.23341616002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0.15426182599538343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3.0071588890425386E-2</v>
      </c>
      <c r="F24" s="140" t="s">
        <v>242</v>
      </c>
      <c r="G24" s="268">
        <f>G3/(Fin_Analysis!H86*G7)</f>
        <v>20.493985947782264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0.97067227017832514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179</v>
      </c>
      <c r="G26" s="178">
        <f>Fin_Analysis!H88*Exchange_Rate/G3</f>
        <v>4.7363761869045569E-2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0.43052317835912396</v>
      </c>
      <c r="D29" s="129">
        <f>G29*(1+G20)</f>
        <v>0.77466816133445648</v>
      </c>
      <c r="E29" s="87"/>
      <c r="F29" s="131">
        <f>IF(Fin_Analysis!C108="Profit",Fin_Analysis!F100,IF(Fin_Analysis!C108="Dividend",Fin_Analysis!F103,Fin_Analysis!F106))</f>
        <v>0.50649785689308702</v>
      </c>
      <c r="G29" s="286">
        <f>IF(Fin_Analysis!C108="Profit",Fin_Analysis!I100,IF(Fin_Analysis!C108="Dividend",Fin_Analysis!I103,Fin_Analysis!I106))</f>
        <v>0.67362448811691877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0.69462498271442097</v>
      </c>
      <c r="D40" s="156">
        <f t="shared" si="34"/>
        <v>0.70592383638928069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0.15111319129019563</v>
      </c>
      <c r="D41" s="153">
        <f t="shared" si="35"/>
        <v>0.14964739069111424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3.0071588890425386E-2</v>
      </c>
      <c r="D43" s="153">
        <f t="shared" si="37"/>
        <v>3.258110014104372E-2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0.12419023710495804</v>
      </c>
      <c r="D46" s="153">
        <f t="shared" si="40"/>
        <v>0.11184767277856135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0.24214132762312635</v>
      </c>
      <c r="D55" s="153">
        <f t="shared" si="47"/>
        <v>0.29129886506935687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92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152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4.8794802658104396E-2</v>
      </c>
      <c r="D87" s="209"/>
      <c r="E87" s="262">
        <f>E86*Exchange_Rate/Dashboard!G3</f>
        <v>4.8794802658104396E-2</v>
      </c>
      <c r="F87" s="209"/>
      <c r="H87" s="262">
        <f>H86*Exchange_Rate/Dashboard!G3</f>
        <v>4.8794802658104396E-2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207</v>
      </c>
      <c r="C89" s="261">
        <f>C88*Exchange_Rate/Dashboard!G3</f>
        <v>4.7363761869045569E-2</v>
      </c>
      <c r="D89" s="209"/>
      <c r="E89" s="261">
        <f>E88*Exchange_Rate/Dashboard!G3</f>
        <v>4.7363761869045569E-2</v>
      </c>
      <c r="F89" s="209"/>
      <c r="H89" s="261">
        <f>H88*Exchange_Rate/Dashboard!G3</f>
        <v>4.7363761869045569E-2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1.0187481049152567</v>
      </c>
      <c r="H93" s="87" t="s">
        <v>195</v>
      </c>
      <c r="I93" s="144">
        <f>FV(H87,D93,0,-(H86/(C93-D94)))*Exchange_Rate</f>
        <v>1.0187481049152567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0.98214253901901949</v>
      </c>
      <c r="H94" s="87" t="s">
        <v>196</v>
      </c>
      <c r="I94" s="144">
        <f>FV(H89,D93,0,-(H88/(C93-D94)))*Exchange_Rate</f>
        <v>0.98214253901901949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89147.913368684996</v>
      </c>
      <c r="D97" s="213"/>
      <c r="E97" s="123">
        <f>PV(C94,D93,0,-F93)</f>
        <v>0.50649785689308702</v>
      </c>
      <c r="F97" s="213"/>
      <c r="H97" s="123">
        <f>PV(C94,D93,0,-I93)</f>
        <v>0.50649785689308702</v>
      </c>
      <c r="I97" s="123">
        <f>PV(C93,D93,0,-I93)</f>
        <v>0.67362448811691877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89147.913368684996</v>
      </c>
      <c r="D100" s="109">
        <f>MIN(F100*(1-C94),E100)</f>
        <v>0.43052317835912396</v>
      </c>
      <c r="E100" s="109">
        <f>MAX(E97+H98+E99,0)</f>
        <v>0.50649785689308702</v>
      </c>
      <c r="F100" s="109">
        <f>(E100+H100)/2</f>
        <v>0.50649785689308702</v>
      </c>
      <c r="H100" s="109">
        <f>MAX(C100*Data!$C$4/Common_Shares,0)</f>
        <v>0.50649785689308702</v>
      </c>
      <c r="I100" s="109">
        <f>MAX(I97+H98+H99,0)</f>
        <v>0.67362448811691877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85944.658509525398</v>
      </c>
      <c r="D103" s="109">
        <f>MIN(F103*(1-C94),E103)</f>
        <v>0.415053657974992</v>
      </c>
      <c r="E103" s="123">
        <f>PV(C94,D93,0,-F94)</f>
        <v>0.48829842114704941</v>
      </c>
      <c r="F103" s="109">
        <f>(E103+H103)/2</f>
        <v>0.48829842114704941</v>
      </c>
      <c r="H103" s="123">
        <f>PV(C94,D93,0,-I94)</f>
        <v>0.48829842114704941</v>
      </c>
      <c r="I103" s="109">
        <f>PV(C93,D93,0,-I94)</f>
        <v>0.64941987318795735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87546.285939105204</v>
      </c>
      <c r="D106" s="109">
        <f>(D100+D103)/2</f>
        <v>0.42278841816705798</v>
      </c>
      <c r="E106" s="123">
        <f>(E100+E103)/2</f>
        <v>0.49739813902006824</v>
      </c>
      <c r="F106" s="109">
        <f>(F100+F103)/2</f>
        <v>0.49739813902006824</v>
      </c>
      <c r="H106" s="123">
        <f>(H100+H103)/2</f>
        <v>0.49739813902006824</v>
      </c>
      <c r="I106" s="123">
        <f>(I100+I103)/2</f>
        <v>0.66152218065243806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