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C1324C2-1FE2-421A-BDCA-E136ED7EA67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H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<sst xmlns="http://schemas.openxmlformats.org/spreadsheetml/2006/main" count="390" uniqueCount="273">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</sst>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68</v>
      </c>
      <c r="E8" s="267"/>
    </row>
    <row r="9" spans="1:5" ht="13.9" x14ac:dyDescent="0.4">
      <c r="B9" s="140" t="s">
        <v>203</v>
      </c>
      <c r="C9" s="192" t="s">
        <v>267</v>
      </c>
    </row>
    <row r="10" spans="1:5" ht="13.9" x14ac:dyDescent="0.4">
      <c r="B10" s="140" t="s">
        <v>204</v>
      </c>
      <c r="C10" s="193">
        <v>777416974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239</v>
      </c>
      <c r="C15" s="176" t="s">
        <v>177</v>
      </c>
    </row>
    <row r="16" spans="1:5" ht="13.9" x14ac:dyDescent="0.4">
      <c r="B16" s="222" t="s">
        <v>94</v>
      </c>
      <c r="C16" s="223">
        <v>0.16500000000000001</v>
      </c>
      <c r="D16" s="24" t="s">
        <v>268</v>
      </c>
    </row>
    <row r="17" spans="2:13" ht="13.9" x14ac:dyDescent="0.4">
      <c r="B17" s="240" t="s">
        <v>211</v>
      </c>
      <c r="C17" s="242" t="s">
        <v>269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269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0.14634146341463414</v>
      </c>
      <c r="D45" s="152">
        <f>IF(D44="","",D44*Exchange_Rate/Dashboard!$G$3)</f>
        <v>0.17073170731707318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103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232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240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231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107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0.06</v>
      </c>
      <c r="D98" s="266"/>
      <c r="E98" s="254">
        <v>0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0831.HK</v>
      </c>
      <c r="D3" s="290"/>
      <c r="E3" s="87"/>
      <c r="F3" s="3" t="s">
        <v>1</v>
      </c>
      <c r="G3" s="132">
        <v>0.41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利亞零售</v>
      </c>
      <c r="D4" s="292"/>
      <c r="E4" s="87"/>
      <c r="F4" s="3" t="s">
        <v>3</v>
      </c>
      <c r="G4" s="295">
        <f>Inputs!C10</f>
        <v>777416974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45624</v>
      </c>
      <c r="D5" s="294"/>
      <c r="E5" s="34"/>
      <c r="F5" s="35" t="s">
        <v>97</v>
      </c>
      <c r="G5" s="287">
        <f>G3*G4/1000000</f>
        <v>318.74095933999996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261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251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249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256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257</v>
      </c>
      <c r="C23" s="282">
        <f>Data!C13</f>
        <v>4.333564209294663E-2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258</v>
      </c>
      <c r="C24" s="171">
        <f>Fin_Analysis!I81</f>
        <v>0</v>
      </c>
      <c r="F24" s="140" t="s">
        <v>242</v>
      </c>
      <c r="G24" s="268">
        <f>G3/(Fin_Analysis!H86*G7)</f>
        <v>-2.2961496806442452</v>
      </c>
    </row>
    <row r="25" spans="1:8" ht="15.75" customHeight="1" x14ac:dyDescent="0.4">
      <c r="B25" s="137" t="s">
        <v>259</v>
      </c>
      <c r="C25" s="171">
        <f>Fin_Analysis!I80</f>
        <v>3.9525516276755275E-2</v>
      </c>
      <c r="F25" s="140" t="s">
        <v>163</v>
      </c>
      <c r="G25" s="171">
        <f>Fin_Analysis!I88</f>
        <v>-0.33602190448452368</v>
      </c>
    </row>
    <row r="26" spans="1:8" ht="15.75" customHeight="1" x14ac:dyDescent="0.4">
      <c r="B26" s="138" t="s">
        <v>260</v>
      </c>
      <c r="C26" s="171">
        <f>Fin_Analysis!I80+Fin_Analysis!I82</f>
        <v>0.15512847238566596</v>
      </c>
      <c r="F26" s="141" t="s">
        <v>180</v>
      </c>
      <c r="G26" s="178">
        <f>Fin_Analysis!H88*Exchange_Rate/G3</f>
        <v>0.14634146341463414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241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0</v>
      </c>
      <c r="D29" s="129">
        <f>G29*(1+G20)</f>
        <v>0.7644732553101754</v>
      </c>
      <c r="E29" s="87"/>
      <c r="F29" s="131">
        <f>IF(Fin_Analysis!C108="Profit",Fin_Analysis!F100,IF(Fin_Analysis!C108="Dividend",Fin_Analysis!F103,Fin_Analysis!F106))</f>
        <v>0.24351196867391983</v>
      </c>
      <c r="G29" s="286">
        <f>IF(Fin_Analysis!C108="Profit",Fin_Analysis!I100,IF(Fin_Analysis!C108="Dividend",Fin_Analysis!I103,Fin_Analysis!I106))</f>
        <v>0.66475935244363082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disagree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0.46570281556597115</v>
      </c>
      <c r="D40" s="156">
        <f t="shared" si="34"/>
        <v>0.49445813144625883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0.49096154234108225</v>
      </c>
      <c r="D41" s="153">
        <f t="shared" si="35"/>
        <v>0.45503751544914633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3.9525516276755275E-2</v>
      </c>
      <c r="D42" s="153">
        <f t="shared" si="36"/>
        <v>2.6215013835872644E-2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0</v>
      </c>
      <c r="D43" s="153">
        <f t="shared" si="37"/>
        <v>0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0.11560295610891069</v>
      </c>
      <c r="D45" s="153">
        <f t="shared" si="39"/>
        <v>8.8749193363156106E-2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-0.11179283029271934</v>
      </c>
      <c r="D46" s="153">
        <f t="shared" si="40"/>
        <v>-6.445985409443393E-2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253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3">
        <f t="shared" ref="C51:M51" si="44">IF(D6="","",C16/(C6-D6))</f>
        <v>2.4262362750763642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 t="str">
        <f t="shared" ref="C55:M55" si="47">IF(C22="","",IF(MAX(C17,0)&lt;=0,"-",C17/C22))</f>
        <v>-</v>
      </c>
      <c r="D55" s="153" t="str">
        <f t="shared" si="47"/>
        <v>-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251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252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103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93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107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127</v>
      </c>
    </row>
    <row r="81" spans="1:11" ht="15" customHeight="1" x14ac:dyDescent="0.4">
      <c r="B81" s="104" t="s">
        <v>240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231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121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157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153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-0.43551167784472294</v>
      </c>
      <c r="D87" s="209"/>
      <c r="E87" s="262">
        <f>E86*Exchange_Rate/Dashboard!G3</f>
        <v>-0.43551167784472294</v>
      </c>
      <c r="F87" s="209"/>
      <c r="H87" s="262">
        <f>H86*Exchange_Rate/Dashboard!G3</f>
        <v>-0.43551167784472294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0.06</v>
      </c>
      <c r="D88" s="166">
        <f>C88/C86</f>
        <v>-0.33602190448452368</v>
      </c>
      <c r="E88" s="170">
        <f>Inputs!E98</f>
        <v>0</v>
      </c>
      <c r="F88" s="166">
        <f>E88/E86</f>
        <v>0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208</v>
      </c>
      <c r="C89" s="261">
        <f>C88*Exchange_Rate/Dashboard!G3</f>
        <v>0.14634146341463414</v>
      </c>
      <c r="D89" s="209"/>
      <c r="E89" s="261">
        <f>E88*Exchange_Rate/Dashboard!G3</f>
        <v>0</v>
      </c>
      <c r="F89" s="209"/>
      <c r="H89" s="261">
        <f>H88*Exchange_Rate/Dashboard!G3</f>
        <v>0.14634146341463414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-0.16881332318123474</v>
      </c>
      <c r="H93" s="87" t="s">
        <v>196</v>
      </c>
      <c r="I93" s="144">
        <f>FV(H87,D93,0,-(H86/(C93-D94)))*Exchange_Rate</f>
        <v>-0.16881332318123474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0</v>
      </c>
      <c r="H94" s="87" t="s">
        <v>197</v>
      </c>
      <c r="I94" s="144">
        <f>FV(H89,D93,0,-(H88/(C93-D94)))*Exchange_Rate</f>
        <v>1.9591581937382534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-65248.650858260153</v>
      </c>
      <c r="D97" s="213"/>
      <c r="E97" s="123">
        <f>PV(C94,D93,0,-F93)</f>
        <v>-8.3930056894101407E-2</v>
      </c>
      <c r="F97" s="213"/>
      <c r="H97" s="123">
        <f>PV(C94,D93,0,-I93)</f>
        <v>-8.3930056894101407E-2</v>
      </c>
      <c r="I97" s="123">
        <f>PV(C93,D93,0,-I93)</f>
        <v>-0.11455964685290521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-65248.650858260153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757241.35127704625</v>
      </c>
      <c r="D103" s="109">
        <f>MIN(F103*(1-C94),E103)</f>
        <v>0</v>
      </c>
      <c r="E103" s="123">
        <f>PV(C94,D93,0,-F94)</f>
        <v>0</v>
      </c>
      <c r="F103" s="109">
        <f>(E103+H103)/2</f>
        <v>0.48702393734783966</v>
      </c>
      <c r="H103" s="123">
        <f>PV(C94,D93,0,-I94)</f>
        <v>0.97404787469567933</v>
      </c>
      <c r="I103" s="109">
        <f>PV(C93,D93,0,-I94)</f>
        <v>1.3295187048872616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0.24351196867391983</v>
      </c>
      <c r="H106" s="123">
        <f>(H100+H103)/2</f>
        <v>0.48702393734783966</v>
      </c>
      <c r="I106" s="123">
        <f>(I100+I103)/2</f>
        <v>0.66475935244363082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