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171E6A-0CE0-4C9C-97C8-C1B05F9155C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7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<sst xmlns="http://schemas.openxmlformats.org/spreadsheetml/2006/main" count="389" uniqueCount="276">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</sst>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183020977818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271</v>
      </c>
      <c r="D17" s="24"/>
    </row>
    <row r="18" spans="2:13" ht="13.9" x14ac:dyDescent="0.4">
      <c r="B18" s="240" t="s">
        <v>224</v>
      </c>
      <c r="C18" s="242" t="s">
        <v>272</v>
      </c>
      <c r="D18" s="24"/>
    </row>
    <row r="19" spans="2:13" ht="13.9" x14ac:dyDescent="0.4">
      <c r="B19" s="240" t="s">
        <v>225</v>
      </c>
      <c r="C19" s="242" t="s">
        <v>273</v>
      </c>
      <c r="D19" s="24"/>
    </row>
    <row r="20" spans="2:13" ht="13.9" x14ac:dyDescent="0.4">
      <c r="B20" s="241" t="s">
        <v>214</v>
      </c>
      <c r="C20" s="242" t="s">
        <v>272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102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100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103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107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106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101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104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8.3522889763116837E-2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238880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9895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v>24847</v>
      </c>
      <c r="D54" s="60">
        <v>0.1</v>
      </c>
      <c r="E54" s="112"/>
    </row>
    <row r="55" spans="2:5" ht="13.9" x14ac:dyDescent="0.4">
      <c r="B55" s="3" t="s">
        <v>43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292606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201156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91529</v>
      </c>
      <c r="D70" s="60">
        <v>0.05</v>
      </c>
      <c r="E70" s="112"/>
    </row>
    <row r="71" spans="2:5" ht="13.9" x14ac:dyDescent="0.4">
      <c r="B71" s="3" t="s">
        <v>71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71887</v>
      </c>
      <c r="D72" s="248">
        <v>0</v>
      </c>
      <c r="E72" s="249"/>
    </row>
    <row r="73" spans="2:5" ht="13.9" x14ac:dyDescent="0.4">
      <c r="B73" s="3" t="s">
        <v>35</v>
      </c>
      <c r="C73" s="59">
        <v>40594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58</v>
      </c>
      <c r="C78" s="59">
        <v>70126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>
        <v>11000</v>
      </c>
    </row>
    <row r="82" spans="2:8" ht="14.25" thickBot="1" x14ac:dyDescent="0.45">
      <c r="B82" s="80" t="s">
        <v>81</v>
      </c>
      <c r="C82" s="83">
        <v>373503</v>
      </c>
    </row>
    <row r="83" spans="2:8" ht="14.25" thickTop="1" x14ac:dyDescent="0.4">
      <c r="B83" s="73" t="s">
        <v>206</v>
      </c>
      <c r="C83" s="59">
        <v>1489904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102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231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240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230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161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193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0857.HK</v>
      </c>
      <c r="D3" s="290"/>
      <c r="E3" s="87"/>
      <c r="F3" s="3" t="s">
        <v>1</v>
      </c>
      <c r="G3" s="132">
        <v>5.76</v>
      </c>
      <c r="H3" s="134" t="s">
        <v>275</v>
      </c>
    </row>
    <row r="4" spans="1:10" ht="15.75" customHeight="1" x14ac:dyDescent="0.4">
      <c r="B4" s="35" t="s">
        <v>181</v>
      </c>
      <c r="C4" s="291" t="str">
        <f>Inputs!C5</f>
        <v>中國石油股份</v>
      </c>
      <c r="D4" s="292"/>
      <c r="E4" s="87"/>
      <c r="F4" s="3" t="s">
        <v>2</v>
      </c>
      <c r="G4" s="295">
        <f>Inputs!C10</f>
        <v>183020977818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1054200.8322316799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7.9307997886867723E-2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7.9916652607163307E-3</v>
      </c>
      <c r="F24" s="140" t="s">
        <v>242</v>
      </c>
      <c r="G24" s="268">
        <f>G3/(Fin_Analysis!H86*G7)</f>
        <v>8.7651224932776692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0.73208835976624664</v>
      </c>
    </row>
    <row r="26" spans="1:8" ht="15.75" customHeight="1" x14ac:dyDescent="0.4">
      <c r="B26" s="138" t="s">
        <v>261</v>
      </c>
      <c r="C26" s="171">
        <f>Fin_Analysis!I80+Fin_Analysis!I82</f>
        <v>0.02</v>
      </c>
      <c r="F26" s="141" t="s">
        <v>179</v>
      </c>
      <c r="G26" s="178">
        <f>Fin_Analysis!H88*Exchange_Rate/G3</f>
        <v>8.3522889763116837E-2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disagree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142879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182674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52418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81126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133544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2226916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0.10723230392764403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0.86263355974668987</v>
      </c>
      <c r="D40" s="156">
        <f t="shared" si="34"/>
        <v>0.86588805084764076</v>
      </c>
      <c r="E40" s="156">
        <f t="shared" si="34"/>
        <v>0.87905937577576676</v>
      </c>
      <c r="F40" s="156">
        <f t="shared" si="34"/>
        <v>0.90054585807690002</v>
      </c>
      <c r="G40" s="156">
        <f t="shared" si="34"/>
        <v>0.88576730067029297</v>
      </c>
      <c r="H40" s="156">
        <f t="shared" si="34"/>
        <v>0.86690956464474378</v>
      </c>
      <c r="I40" s="156">
        <f t="shared" si="34"/>
        <v>0.88315334666078005</v>
      </c>
      <c r="J40" s="156">
        <f t="shared" si="34"/>
        <v>0.88041954279261037</v>
      </c>
      <c r="K40" s="156">
        <f t="shared" si="34"/>
        <v>0.86974014563343127</v>
      </c>
      <c r="L40" s="156">
        <f t="shared" si="34"/>
        <v>0.85990393182190505</v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4.8900502555287058E-2</v>
      </c>
      <c r="D41" s="153">
        <f t="shared" si="35"/>
        <v>4.2878616631992113E-2</v>
      </c>
      <c r="E41" s="153">
        <f t="shared" si="35"/>
        <v>5.3445427523257226E-2</v>
      </c>
      <c r="F41" s="153">
        <f t="shared" si="35"/>
        <v>7.3706870696377561E-2</v>
      </c>
      <c r="G41" s="153">
        <f t="shared" si="35"/>
        <v>6.0207564337395353E-2</v>
      </c>
      <c r="H41" s="153">
        <f t="shared" si="35"/>
        <v>6.3183650577237099E-2</v>
      </c>
      <c r="I41" s="153">
        <f t="shared" si="35"/>
        <v>7.1249919390442937E-2</v>
      </c>
      <c r="J41" s="153">
        <f t="shared" si="35"/>
        <v>8.6544461850834586E-2</v>
      </c>
      <c r="K41" s="153">
        <f t="shared" si="35"/>
        <v>8.265775216352117E-2</v>
      </c>
      <c r="L41" s="153">
        <f t="shared" si="35"/>
        <v>6.4741331655980255E-2</v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1.4274348929832885E-2</v>
      </c>
      <c r="E42" s="153">
        <f t="shared" si="36"/>
        <v>1.0563624060903882E-2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>
        <f t="shared" si="36"/>
        <v>0</v>
      </c>
      <c r="J42" s="153">
        <f t="shared" si="36"/>
        <v>0</v>
      </c>
      <c r="K42" s="153">
        <f t="shared" si="36"/>
        <v>0</v>
      </c>
      <c r="L42" s="153">
        <f t="shared" si="36"/>
        <v>0</v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7.9916652607163307E-3</v>
      </c>
      <c r="D43" s="153">
        <f t="shared" si="37"/>
        <v>6.6541799172441553E-3</v>
      </c>
      <c r="E43" s="153">
        <f t="shared" si="37"/>
        <v>7.5502543845523303E-3</v>
      </c>
      <c r="F43" s="153">
        <f t="shared" si="37"/>
        <v>1.3717812679048275E-2</v>
      </c>
      <c r="G43" s="153">
        <f t="shared" si="37"/>
        <v>1.2082358223306488E-2</v>
      </c>
      <c r="H43" s="153">
        <f t="shared" si="37"/>
        <v>9.5657395110769396E-3</v>
      </c>
      <c r="I43" s="153">
        <f t="shared" si="37"/>
        <v>1.0738681178040468E-2</v>
      </c>
      <c r="J43" s="153">
        <f t="shared" si="37"/>
        <v>1.2772565824913431E-2</v>
      </c>
      <c r="K43" s="153">
        <f t="shared" si="37"/>
        <v>1.3808747742589085E-2</v>
      </c>
      <c r="L43" s="153">
        <f t="shared" si="37"/>
        <v>1.0896808619679172E-2</v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9.1579398111554088E-3</v>
      </c>
      <c r="D44" s="153">
        <f t="shared" si="38"/>
        <v>8.522767324644475E-3</v>
      </c>
      <c r="E44" s="153">
        <f t="shared" si="38"/>
        <v>1.1488392202673272E-2</v>
      </c>
      <c r="F44" s="153">
        <f t="shared" si="38"/>
        <v>9.9829216817420574E-3</v>
      </c>
      <c r="G44" s="153">
        <f t="shared" si="38"/>
        <v>1.1301607987889432E-2</v>
      </c>
      <c r="H44" s="153">
        <f t="shared" si="38"/>
        <v>1.1758361846406398E-2</v>
      </c>
      <c r="I44" s="153">
        <f t="shared" si="38"/>
        <v>9.2564574455947495E-3</v>
      </c>
      <c r="J44" s="153">
        <f t="shared" si="38"/>
        <v>1.774091168940458E-2</v>
      </c>
      <c r="K44" s="153">
        <f t="shared" si="38"/>
        <v>5.1859596575458376E-3</v>
      </c>
      <c r="L44" s="153">
        <f t="shared" si="38"/>
        <v>6.9272579511470917E-3</v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1.1646250496510809E-2</v>
      </c>
      <c r="D45" s="153">
        <f t="shared" si="39"/>
        <v>1.76465122051441E-3</v>
      </c>
      <c r="E45" s="153">
        <f t="shared" si="39"/>
        <v>1.7761591891518692E-2</v>
      </c>
      <c r="F45" s="153">
        <f t="shared" si="39"/>
        <v>2.4811824787624184E-2</v>
      </c>
      <c r="G45" s="153">
        <f t="shared" si="39"/>
        <v>3.3744700632944082E-2</v>
      </c>
      <c r="H45" s="153">
        <f t="shared" si="39"/>
        <v>2.263262894884658E-2</v>
      </c>
      <c r="I45" s="153">
        <f t="shared" si="39"/>
        <v>1.5898684948087445E-3</v>
      </c>
      <c r="J45" s="153">
        <f t="shared" si="39"/>
        <v>2.3047146303767141E-2</v>
      </c>
      <c r="K45" s="153">
        <f t="shared" si="39"/>
        <v>1.4129827497872992E-2</v>
      </c>
      <c r="L45" s="153">
        <f t="shared" si="39"/>
        <v>5.1576854980503399E-2</v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5.9670082129640582E-2</v>
      </c>
      <c r="D46" s="153">
        <f t="shared" si="40"/>
        <v>6.0017385128131186E-2</v>
      </c>
      <c r="E46" s="153">
        <f t="shared" si="40"/>
        <v>2.0131334161327865E-2</v>
      </c>
      <c r="F46" s="153">
        <f t="shared" si="40"/>
        <v>-2.2765287921692082E-2</v>
      </c>
      <c r="G46" s="153">
        <f t="shared" si="40"/>
        <v>-3.1035318518283063E-3</v>
      </c>
      <c r="H46" s="153">
        <f t="shared" si="40"/>
        <v>2.5950054471689174E-2</v>
      </c>
      <c r="I46" s="153">
        <f t="shared" si="40"/>
        <v>2.4011726830333004E-2</v>
      </c>
      <c r="J46" s="153">
        <f t="shared" si="40"/>
        <v>-2.0524628461530053E-2</v>
      </c>
      <c r="K46" s="153">
        <f t="shared" si="40"/>
        <v>1.4477567305039678E-2</v>
      </c>
      <c r="L46" s="153">
        <f t="shared" si="40"/>
        <v>5.9538149707850339E-3</v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e">
        <f t="shared" si="41"/>
        <v>#VALUE!</v>
      </c>
      <c r="J48" s="272" t="e">
        <f t="shared" si="41"/>
        <v>#VALUE!</v>
      </c>
      <c r="K48" s="272" t="e">
        <f t="shared" si="41"/>
        <v>#VALUE!</v>
      </c>
      <c r="L48" s="272" t="e">
        <f t="shared" si="41"/>
        <v>#VALUE!</v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4.7452152299625509E-2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6.0668638982508204E-2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>
        <f t="shared" ref="C51:M51" si="44">IF(D6="","",C16/(C6-D6))</f>
        <v>5.743902171769192E-2</v>
      </c>
      <c r="D51" s="153">
        <f t="shared" si="44"/>
        <v>7.400074901811407E-2</v>
      </c>
      <c r="E51" s="153">
        <f t="shared" si="44"/>
        <v>4.0582619288683681E-2</v>
      </c>
      <c r="F51" s="153">
        <f t="shared" si="44"/>
        <v>0.12301749306144014</v>
      </c>
      <c r="G51" s="153">
        <f t="shared" si="44"/>
        <v>-0.2036637627223773</v>
      </c>
      <c r="H51" s="153">
        <f t="shared" si="44"/>
        <v>-6.7846837713483581E-3</v>
      </c>
      <c r="I51" s="153">
        <f t="shared" si="44"/>
        <v>-0.16170451668851366</v>
      </c>
      <c r="J51" s="153">
        <f t="shared" si="44"/>
        <v>5.5001151808339095E-2</v>
      </c>
      <c r="K51" s="153">
        <f t="shared" si="44"/>
        <v>7.9582590478786946E-3</v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1.3453793007048864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0.13393085739941596</v>
      </c>
      <c r="D55" s="153">
        <f t="shared" si="47"/>
        <v>0.11087087354835834</v>
      </c>
      <c r="E55" s="153">
        <f t="shared" si="47"/>
        <v>0.37504987618040286</v>
      </c>
      <c r="F55" s="153">
        <f t="shared" si="47"/>
        <v>-0.6025758482051593</v>
      </c>
      <c r="G55" s="153">
        <f t="shared" si="47"/>
        <v>-3.8930994750992189</v>
      </c>
      <c r="H55" s="153">
        <f t="shared" si="47"/>
        <v>0.36862117270362221</v>
      </c>
      <c r="I55" s="153">
        <f t="shared" si="47"/>
        <v>0.44722652618531145</v>
      </c>
      <c r="J55" s="153">
        <f t="shared" si="47"/>
        <v>-0.62230436223746732</v>
      </c>
      <c r="K55" s="153">
        <f t="shared" si="47"/>
        <v>0.9538030424339472</v>
      </c>
      <c r="L55" s="153">
        <f t="shared" si="47"/>
        <v>1.8302229197832098</v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e">
        <f t="shared" si="49"/>
        <v>#VALUE!</v>
      </c>
      <c r="J58" s="274" t="e">
        <f t="shared" si="49"/>
        <v>#VALUE!</v>
      </c>
      <c r="K58" s="274" t="e">
        <f t="shared" si="49"/>
        <v>#VALUE!</v>
      </c>
      <c r="L58" s="274" t="e">
        <f t="shared" si="49"/>
        <v>#VALUE!</v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e">
        <f t="shared" si="50"/>
        <v>#VALUE!</v>
      </c>
      <c r="J59" s="274" t="e">
        <f t="shared" si="50"/>
        <v>#VALUE!</v>
      </c>
      <c r="K59" s="274" t="e">
        <f t="shared" si="50"/>
        <v>#VALUE!</v>
      </c>
      <c r="L59" s="274" t="e">
        <f t="shared" si="50"/>
        <v>#VALUE!</v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1489904</v>
      </c>
      <c r="K3" s="24"/>
    </row>
    <row r="4" spans="1:11" ht="15" customHeight="1" x14ac:dyDescent="0.4">
      <c r="B4" s="3" t="s">
        <v>23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0.93822569459464367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35</v>
      </c>
      <c r="I11" s="40">
        <f>Inputs!C73</f>
        <v>40594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39</v>
      </c>
      <c r="I14" s="205">
        <f>Inputs!C76</f>
        <v>11824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52418</v>
      </c>
      <c r="J15" s="87"/>
    </row>
    <row r="16" spans="1:11" ht="13.9" x14ac:dyDescent="0.4">
      <c r="B16" s="1" t="s">
        <v>150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41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51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52</v>
      </c>
      <c r="I25" s="63">
        <f>E28/I28</f>
        <v>0.57302882475325867</v>
      </c>
    </row>
    <row r="26" spans="2:10" ht="15" customHeight="1" x14ac:dyDescent="0.4">
      <c r="B26" s="23" t="s">
        <v>53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54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56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70126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63</v>
      </c>
      <c r="I33" s="205">
        <f>Inputs!C81</f>
        <v>11000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81126</v>
      </c>
      <c r="J34" s="87"/>
    </row>
    <row r="35" spans="2:10" ht="13.9" x14ac:dyDescent="0.4">
      <c r="B35" s="3" t="s">
        <v>66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77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79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81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82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188249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133544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102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92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161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218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120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152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0.1366540514912612</v>
      </c>
      <c r="D87" s="209"/>
      <c r="E87" s="262">
        <f>E86*Exchange_Rate/Dashboard!G3</f>
        <v>8.5767406616896719E-2</v>
      </c>
      <c r="F87" s="209"/>
      <c r="H87" s="262">
        <f>H86*Exchange_Rate/Dashboard!G3</f>
        <v>0.11408853678507526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207</v>
      </c>
      <c r="C89" s="261">
        <f>C88*Exchange_Rate/Dashboard!G3</f>
        <v>8.3522889763116837E-2</v>
      </c>
      <c r="D89" s="209"/>
      <c r="E89" s="261">
        <f>E88*Exchange_Rate/Dashboard!G3</f>
        <v>6.6818311810493469E-2</v>
      </c>
      <c r="F89" s="209"/>
      <c r="H89" s="261">
        <f>H88*Exchange_Rate/Dashboard!G3</f>
        <v>8.3522889763116837E-2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11.252340920653525</v>
      </c>
      <c r="H93" s="87" t="s">
        <v>195</v>
      </c>
      <c r="I93" s="144">
        <f>FV(H87,D93,0,-(H86/(C93-D94)))*Exchange_Rate</f>
        <v>17.024608724235613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8.0275756716748479</v>
      </c>
      <c r="H94" s="87" t="s">
        <v>196</v>
      </c>
      <c r="I94" s="144">
        <f>FV(H89,D93,0,-(H88/(C93-D94)))*Exchange_Rate</f>
        <v>10.845075117265411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1549133.3687733952</v>
      </c>
      <c r="D97" s="213"/>
      <c r="E97" s="123">
        <f>PV(C94,D93,0,-F93)</f>
        <v>5.5944021233938734</v>
      </c>
      <c r="F97" s="213"/>
      <c r="H97" s="123">
        <f>PV(C94,D93,0,-I93)</f>
        <v>8.4642393852462465</v>
      </c>
      <c r="I97" s="123">
        <f>PV(C93,D93,0,-I93)</f>
        <v>11.25714323484117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986834.29517492256</v>
      </c>
      <c r="D103" s="109">
        <f>MIN(F103*(1-C94),E103)</f>
        <v>3.9877932349097556</v>
      </c>
      <c r="E103" s="123">
        <f>PV(C94,D93,0,-F94)</f>
        <v>3.9911238648032774</v>
      </c>
      <c r="F103" s="109">
        <f>(E103+H103)/2</f>
        <v>4.6915214528350067</v>
      </c>
      <c r="H103" s="123">
        <f>PV(C94,D93,0,-I94)</f>
        <v>5.3919190408667355</v>
      </c>
      <c r="I103" s="109">
        <f>PV(C93,D93,0,-I94)</f>
        <v>7.1710643084485977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