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8C992DB-0C58-4DB4-B0C7-625271D3206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2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F97" i="4"/>
  <c r="D56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<sst xmlns="http://schemas.openxmlformats.org/spreadsheetml/2006/main" count="389" uniqueCount="273">
  <si>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</si>
  <si>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</si>
  <si>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</si>
  <si>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</si>
  <si>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</si>
  <si>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</si>
  <si>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</si>
  <si>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</si>
  <si>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</si>
  <si>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</si>
  <si>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</si>
  <si>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</si>
  <si>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</si>
  <si>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</si>
  <si>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</si>
  <si>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</si>
  <si>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</si>
  <si>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</si>
  <si>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</si>
  <si>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</si>
  <si>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</si>
  <si>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</si>
  <si>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</si>
  <si>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</si>
  <si>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</si>
  <si>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</si>
  <si>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</si>
  <si>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</si>
  <si>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</si>
  <si>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</si>
  <si>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</si>
  <si>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</si>
  <si>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</si>
  <si>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</si>
  <si>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</si>
  <si>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</si>
  <si>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</si>
  <si>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</si>
  <si>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</si>
  <si>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</si>
  <si>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</si>
  <si>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</si>
  <si>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</si>
  <si>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</si>
  <si>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</si>
  <si>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</si>
  <si>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</si>
  <si>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</si>
  <si>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</si>
  <si>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</si>
  <si>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</si>
  <si>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</si>
  <si>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</si>
  <si>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</si>
  <si>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</si>
  <si>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</si>
  <si>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</si>
  <si>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</si>
  <si>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</si>
  <si>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</si>
  <si>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</si>
  <si>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</si>
  <si>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</si>
  <si>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</si>
  <si>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</si>
  <si>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</si>
  <si>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</si>
  <si>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</si>
  <si>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</si>
  <si>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</si>
  <si>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</si>
  <si>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</si>
  <si>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</si>
  <si>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</si>
  <si>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</si>
  <si>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</si>
  <si>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</si>
  <si>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</si>
  <si>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</si>
  <si>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</si>
  <si>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</si>
  <si>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</si>
  <si>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</si>
  <si>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</si>
  <si>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</si>
  <si>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</si>
  <si>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</si>
  <si>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</si>
  <si>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</si>
  <si>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</si>
  <si>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</si>
  <si>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</si>
  <si>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</si>
  <si>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</si>
  <si>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</si>
  <si>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</si>
  <si>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</si>
  <si>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</si>
  <si>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</si>
  <si>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</si>
  <si>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</si>
  <si>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</si>
  <si>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</si>
  <si>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</si>
  <si>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</si>
  <si>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</si>
  <si>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</si>
  <si>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</si>
  <si>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</si>
  <si>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</si>
  <si>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</si>
  <si>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</si>
  <si>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</si>
  <si>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</si>
  <si>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</si>
  <si>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</si>
  <si>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</si>
  <si>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</si>
  <si>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</si>
  <si>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</si>
  <si>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</si>
  <si>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</si>
  <si>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</si>
  <si>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</si>
  <si>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</si>
  <si>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</si>
  <si>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</si>
  <si>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</si>
  <si>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</si>
  <si>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</si>
  <si>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</si>
  <si>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</si>
  <si>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</si>
  <si>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</si>
  <si>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</si>
  <si>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</si>
  <si>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</si>
  <si>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</si>
  <si>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</si>
  <si>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</si>
  <si>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</si>
  <si>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</si>
  <si>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</si>
  <si>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</si>
  <si>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</si>
  <si>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</si>
  <si>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</si>
  <si>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</si>
  <si>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</si>
  <si>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</si>
  <si>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</si>
  <si>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</si>
  <si>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</si>
  <si>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</si>
  <si>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</si>
  <si>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</si>
  <si>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</si>
  <si>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</si>
  <si>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</si>
  <si>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</si>
  <si>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</si>
  <si>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</si>
  <si>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</si>
  <si>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</si>
  <si>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</si>
  <si>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</si>
  <si>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</si>
  <si>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</si>
  <si>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</si>
  <si>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</si>
  <si>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</si>
  <si>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</si>
  <si>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</si>
  <si>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</si>
  <si>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</si>
  <si>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</si>
  <si>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</si>
  <si>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</si>
  <si>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</si>
  <si>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</si>
  <si>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</si>
  <si>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</si>
  <si>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</si>
  <si>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</si>
  <si>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</si>
  <si>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</si>
  <si>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</si>
  <si>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</si>
  <si>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</si>
  <si>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</si>
  <si>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</si>
  <si>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</si>
  <si>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</si>
  <si>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</si>
  <si>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</si>
  <si>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</si>
  <si>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</si>
  <si>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</si>
  <si>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</si>
  <si>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</si>
  <si>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</si>
  <si>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</si>
  <si>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</si>
  <si>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</si>
  <si>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</si>
  <si>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</si>
  <si>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</si>
  <si>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</si>
  <si>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</si>
  <si>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</si>
  <si>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</si>
  <si>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</si>
  <si>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</si>
  <si>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</si>
  <si>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</si>
  <si>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</si>
  <si>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</si>
  <si>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</si>
  <si>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</si>
  <si>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</si>
  <si>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</si>
  <si>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</si>
  <si>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</si>
  <si>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</si>
  <si>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</si>
  <si>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</si>
  <si>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</si>
  <si>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</si>
  <si>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</si>
  <si>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</si>
  <si>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</si>
  <si>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</si>
  <si>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</si>
  <si>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</si>
  <si>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</si>
  <si>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</si>
  <si>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</si>
  <si>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</si>
  <si>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</si>
  <si>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</si>
  <si>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</si>
  <si>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</si>
  <si>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</si>
  <si>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</si>
  <si>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</si>
  <si>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</si>
  <si>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</si>
  <si>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</si>
  <si>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</si>
  <si>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</si>
  <si>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</si>
  <si>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</si>
  <si>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</si>
  <si>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</si>
  <si>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</si>
  <si>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</si>
  <si>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</si>
  <si>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</si>
  <si>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</si>
  <si>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</si>
  <si>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</si>
  <si>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</si>
  <si>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</si>
  <si>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</si>
  <si>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</si>
  <si>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</si>
  <si>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0887.HK</t>
  </si>
  <si>
    <t>英皇鐘錶珠寶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</si>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</sst>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266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202</v>
      </c>
      <c r="C8" s="191" t="s">
        <v>68</v>
      </c>
      <c r="E8" s="267"/>
    </row>
    <row r="9" spans="1:5" ht="13.9" x14ac:dyDescent="0.4">
      <c r="B9" s="140" t="s">
        <v>203</v>
      </c>
      <c r="C9" s="192" t="s">
        <v>230</v>
      </c>
    </row>
    <row r="10" spans="1:5" ht="13.9" x14ac:dyDescent="0.4">
      <c r="B10" s="140" t="s">
        <v>204</v>
      </c>
      <c r="C10" s="193">
        <v>6779458129</v>
      </c>
    </row>
    <row r="11" spans="1:5" ht="13.9" x14ac:dyDescent="0.4">
      <c r="B11" s="140" t="s">
        <v>205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177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211</v>
      </c>
      <c r="C17" s="242" t="s">
        <v>268</v>
      </c>
      <c r="D17" s="24"/>
    </row>
    <row r="18" spans="2:13" ht="13.9" x14ac:dyDescent="0.4">
      <c r="B18" s="240" t="s">
        <v>225</v>
      </c>
      <c r="C18" s="242" t="s">
        <v>231</v>
      </c>
      <c r="D18" s="24"/>
    </row>
    <row r="19" spans="2:13" ht="13.9" x14ac:dyDescent="0.4">
      <c r="B19" s="240" t="s">
        <v>226</v>
      </c>
      <c r="C19" s="242" t="s">
        <v>269</v>
      </c>
      <c r="D19" s="24"/>
    </row>
    <row r="20" spans="2:13" ht="13.9" x14ac:dyDescent="0.4">
      <c r="B20" s="241" t="s">
        <v>215</v>
      </c>
      <c r="C20" s="242" t="s">
        <v>269</v>
      </c>
      <c r="D20" s="24"/>
    </row>
    <row r="21" spans="2:13" ht="13.9" x14ac:dyDescent="0.4">
      <c r="B21" s="224" t="s">
        <v>218</v>
      </c>
      <c r="C21" s="242" t="s">
        <v>268</v>
      </c>
      <c r="D21" s="24"/>
    </row>
    <row r="22" spans="2:13" ht="78.75" x14ac:dyDescent="0.4">
      <c r="B22" s="226" t="s">
        <v>217</v>
      </c>
      <c r="C22" s="243" t="s">
        <v>270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4823223</v>
      </c>
      <c r="D25" s="149">
        <v>3684261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3372942</v>
      </c>
      <c r="D26" s="150">
        <v>2506999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1070762</v>
      </c>
      <c r="D27" s="150">
        <v>881682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10228</v>
      </c>
      <c r="D29" s="150">
        <v>6896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264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134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0.0065+0.0056</f>
        <v>1.21E-2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7.3780487804878045E-2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235</v>
      </c>
      <c r="C47" s="194" t="s">
        <v>31</v>
      </c>
      <c r="D47" s="194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116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236</v>
      </c>
      <c r="C86" s="197">
        <v>5</v>
      </c>
    </row>
    <row r="87" spans="2:8" ht="13.9" x14ac:dyDescent="0.4">
      <c r="B87" s="10" t="s">
        <v>234</v>
      </c>
      <c r="C87" s="236" t="s">
        <v>271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122</v>
      </c>
      <c r="C91" s="77">
        <f>C25</f>
        <v>4823223</v>
      </c>
      <c r="D91" s="209"/>
      <c r="E91" s="251">
        <f>C91</f>
        <v>4823223</v>
      </c>
      <c r="F91" s="251">
        <f>C91</f>
        <v>4823223</v>
      </c>
    </row>
    <row r="92" spans="2:8" ht="13.9" x14ac:dyDescent="0.4">
      <c r="B92" s="104" t="s">
        <v>103</v>
      </c>
      <c r="C92" s="77">
        <f>C26</f>
        <v>3372942</v>
      </c>
      <c r="D92" s="159">
        <f>C92/C91</f>
        <v>0.69931288683936033</v>
      </c>
      <c r="E92" s="252">
        <f>E91*D92</f>
        <v>3372942</v>
      </c>
      <c r="F92" s="252">
        <f>F91*D92</f>
        <v>3372942</v>
      </c>
    </row>
    <row r="93" spans="2:8" ht="13.9" x14ac:dyDescent="0.4">
      <c r="B93" s="104" t="s">
        <v>233</v>
      </c>
      <c r="C93" s="77">
        <f>C27+C28</f>
        <v>1070762</v>
      </c>
      <c r="D93" s="159">
        <f>C93/C91</f>
        <v>0.22200134640260258</v>
      </c>
      <c r="E93" s="252">
        <f>E91*D93</f>
        <v>1070762</v>
      </c>
      <c r="F93" s="252">
        <f>F91*D93</f>
        <v>1070762</v>
      </c>
    </row>
    <row r="94" spans="2:8" ht="13.9" x14ac:dyDescent="0.4">
      <c r="B94" s="104" t="s">
        <v>241</v>
      </c>
      <c r="C94" s="77">
        <f>C29</f>
        <v>10228</v>
      </c>
      <c r="D94" s="159">
        <f>C94/C91</f>
        <v>2.1205737325435711E-3</v>
      </c>
      <c r="E94" s="253"/>
      <c r="F94" s="252">
        <f>F91*D94</f>
        <v>10228</v>
      </c>
    </row>
    <row r="95" spans="2:8" ht="13.9" x14ac:dyDescent="0.4">
      <c r="B95" s="28" t="s">
        <v>232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194</v>
      </c>
      <c r="C98" s="237">
        <f>C44</f>
        <v>1.21E-2</v>
      </c>
      <c r="D98" s="266"/>
      <c r="E98" s="254">
        <f>F98</f>
        <v>1.21E-2</v>
      </c>
      <c r="F98" s="254">
        <f>C98</f>
        <v>1.21E-2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0887.HK : 英皇鐘錶珠寶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0887.HK</v>
      </c>
      <c r="D3" s="290"/>
      <c r="E3" s="87"/>
      <c r="F3" s="3" t="s">
        <v>1</v>
      </c>
      <c r="G3" s="132">
        <v>0.16400000000000001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英皇鐘錶珠寶</v>
      </c>
      <c r="D4" s="292"/>
      <c r="E4" s="87"/>
      <c r="F4" s="3" t="s">
        <v>3</v>
      </c>
      <c r="G4" s="295">
        <f>Inputs!C10</f>
        <v>6779458129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45593</v>
      </c>
      <c r="D5" s="294"/>
      <c r="E5" s="34"/>
      <c r="F5" s="35" t="s">
        <v>97</v>
      </c>
      <c r="G5" s="287">
        <f>G3*G4/1000000</f>
        <v>1111.8311331560001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N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HK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49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Data!C48</f>
        <v>#DIV/0!</v>
      </c>
      <c r="F22" s="142" t="s">
        <v>172</v>
      </c>
    </row>
    <row r="23" spans="1:8" ht="15.75" customHeight="1" thickBot="1" x14ac:dyDescent="0.45">
      <c r="B23" s="281" t="s">
        <v>258</v>
      </c>
      <c r="C23" s="282">
        <f>Data!C13</f>
        <v>7.868576675803711E-2</v>
      </c>
      <c r="F23" s="140" t="s">
        <v>176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2.1205737325435711E-3</v>
      </c>
      <c r="F24" s="140" t="s">
        <v>243</v>
      </c>
      <c r="G24" s="268">
        <f>G3/(Fin_Analysis!H86*G7)</f>
        <v>4.0142909274113556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163</v>
      </c>
      <c r="G25" s="171">
        <f>Fin_Analysis!I88</f>
        <v>0.29617634281510608</v>
      </c>
    </row>
    <row r="26" spans="1:8" ht="15.75" customHeight="1" x14ac:dyDescent="0.4">
      <c r="B26" s="138" t="s">
        <v>261</v>
      </c>
      <c r="C26" s="171">
        <f>Fin_Analysis!I80+Fin_Analysis!I82</f>
        <v>0</v>
      </c>
      <c r="F26" s="141" t="s">
        <v>180</v>
      </c>
      <c r="G26" s="178">
        <f>Fin_Analysis!H88*Exchange_Rate/G3</f>
        <v>7.3780487804878045E-2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0.12040399090097402</v>
      </c>
      <c r="D29" s="129">
        <f>G29*(1+G20)</f>
        <v>0.22234836770314761</v>
      </c>
      <c r="E29" s="87"/>
      <c r="F29" s="131">
        <f>IF(Fin_Analysis!C108="Profit",Fin_Analysis!F100,IF(Fin_Analysis!C108="Dividend",Fin_Analysis!F103,Fin_Analysis!F106))</f>
        <v>0.14165175400114591</v>
      </c>
      <c r="G29" s="286">
        <f>IF(Fin_Analysis!C108="Profit",Fin_Analysis!I100,IF(Fin_Analysis!C108="Dividend",Fin_Analysis!I103,Fin_Analysis!I106))</f>
        <v>0.19334640669838923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Strongly agree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379519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4823223</v>
      </c>
      <c r="D6" s="200">
        <f>IF(Inputs!D25="","",Inputs!D25)</f>
        <v>3684261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0.30914259331790017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3372942</v>
      </c>
      <c r="D8" s="199">
        <f>IF(Inputs!D26="","",Inputs!D26)</f>
        <v>2506999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1450281</v>
      </c>
      <c r="D9" s="151">
        <f t="shared" si="2"/>
        <v>1177262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1070762</v>
      </c>
      <c r="D10" s="199">
        <f>IF(Inputs!D27="","",Inputs!D27)</f>
        <v>881682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7.868576675803711E-2</v>
      </c>
      <c r="D13" s="229">
        <f t="shared" si="3"/>
        <v>8.0227758022572232E-2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379519</v>
      </c>
      <c r="D14" s="230">
        <f t="shared" ref="D14:M14" si="4">IF(D6="","",D9-D10-MAX(D11,0)-MAX(D12,0))</f>
        <v>295580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0.28398064821706476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10228</v>
      </c>
      <c r="D17" s="199">
        <f>IF(Inputs!D29="","",Inputs!D29)</f>
        <v>6896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369291</v>
      </c>
      <c r="D22" s="161">
        <f t="shared" ref="D22:M22" si="8">IF(D6="","",D14-MAX(D16,0)-MAX(D17,0)-ABS(MAX(D21,0)-MAX(D19,0)))</f>
        <v>288684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5.7423894769120153E-2</v>
      </c>
      <c r="D23" s="153">
        <f t="shared" si="9"/>
        <v>5.8767009177688553E-2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0.27922226379016502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6">
        <f t="shared" ref="C40:M40" si="34">IF(C6="","",C8/C6)</f>
        <v>0.69931288683936033</v>
      </c>
      <c r="D40" s="156">
        <f t="shared" si="34"/>
        <v>0.6804618348157202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221</v>
      </c>
      <c r="C41" s="153">
        <f t="shared" ref="C41:M41" si="35">IF(C6="","",(C10+MAX(C11,0))/C6)</f>
        <v>0.22200134640260258</v>
      </c>
      <c r="D41" s="153">
        <f t="shared" si="35"/>
        <v>0.23931040716170759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3">
        <f t="shared" ref="C43:M43" si="37">IF(C6="","",MAX(C17,0)/C6)</f>
        <v>2.1205737325435711E-3</v>
      </c>
      <c r="D43" s="153">
        <f t="shared" si="37"/>
        <v>1.8717457856541652E-3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3">
        <f t="shared" ref="C44:M44" si="38">IF(C6="","",MAX(C12,0)/C6)</f>
        <v>0</v>
      </c>
      <c r="D44" s="153">
        <f t="shared" si="38"/>
        <v>0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223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3">
        <f t="shared" ref="C46:M46" si="40">IF(C6="","",C22/C6)</f>
        <v>7.6565193025493528E-2</v>
      </c>
      <c r="D46" s="153">
        <f t="shared" si="40"/>
        <v>7.8356012236918071E-2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254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117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119</v>
      </c>
      <c r="C55" s="153">
        <f t="shared" ref="C55:M55" si="47">IF(C22="","",IF(MAX(C17,0)&lt;=0,"-",C17/C22))</f>
        <v>2.7696315371888294E-2</v>
      </c>
      <c r="D55" s="153">
        <f t="shared" si="47"/>
        <v>2.3887711130509484E-2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20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252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253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4823223</v>
      </c>
      <c r="D74" s="209"/>
      <c r="E74" s="238">
        <f>Inputs!E91</f>
        <v>4823223</v>
      </c>
      <c r="F74" s="209"/>
      <c r="H74" s="238">
        <f>Inputs!F91</f>
        <v>4823223</v>
      </c>
      <c r="I74" s="209"/>
      <c r="K74" s="24"/>
    </row>
    <row r="75" spans="1:11" ht="15" customHeight="1" x14ac:dyDescent="0.4">
      <c r="B75" s="104" t="s">
        <v>103</v>
      </c>
      <c r="C75" s="77">
        <f>Data!C8</f>
        <v>3372942</v>
      </c>
      <c r="D75" s="159">
        <f>C75/$C$74</f>
        <v>0.69931288683936033</v>
      </c>
      <c r="E75" s="238">
        <f>Inputs!E92</f>
        <v>3372942</v>
      </c>
      <c r="F75" s="160">
        <f>E75/E74</f>
        <v>0.69931288683936033</v>
      </c>
      <c r="H75" s="238">
        <f>Inputs!F92</f>
        <v>3372942</v>
      </c>
      <c r="I75" s="160">
        <f>H75/$H$74</f>
        <v>0.69931288683936033</v>
      </c>
      <c r="K75" s="24"/>
    </row>
    <row r="76" spans="1:11" ht="15" customHeight="1" x14ac:dyDescent="0.4">
      <c r="B76" s="35" t="s">
        <v>93</v>
      </c>
      <c r="C76" s="161">
        <f>C74-C75</f>
        <v>1450281</v>
      </c>
      <c r="D76" s="210"/>
      <c r="E76" s="162">
        <f>E74-E75</f>
        <v>1450281</v>
      </c>
      <c r="F76" s="210"/>
      <c r="H76" s="162">
        <f>H74-H75</f>
        <v>1450281</v>
      </c>
      <c r="I76" s="210"/>
      <c r="K76" s="24"/>
    </row>
    <row r="77" spans="1:11" ht="15" customHeight="1" x14ac:dyDescent="0.4">
      <c r="B77" s="104" t="s">
        <v>233</v>
      </c>
      <c r="C77" s="77">
        <f>Data!C10+MAX(Data!C11,0)</f>
        <v>1070762</v>
      </c>
      <c r="D77" s="159">
        <f>C77/$C$74</f>
        <v>0.22200134640260258</v>
      </c>
      <c r="E77" s="238">
        <f>Inputs!E93</f>
        <v>1070762</v>
      </c>
      <c r="F77" s="160">
        <f>E77/E74</f>
        <v>0.22200134640260258</v>
      </c>
      <c r="H77" s="238">
        <f>Inputs!F93</f>
        <v>1070762</v>
      </c>
      <c r="I77" s="160">
        <f>H77/$H$74</f>
        <v>0.22200134640260258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219</v>
      </c>
      <c r="C79" s="257">
        <f>C76-C77-C78</f>
        <v>379519</v>
      </c>
      <c r="D79" s="258">
        <f>C79/C74</f>
        <v>7.868576675803711E-2</v>
      </c>
      <c r="E79" s="259">
        <f>E76-E77-E78</f>
        <v>379519</v>
      </c>
      <c r="F79" s="258">
        <f>E79/E74</f>
        <v>7.868576675803711E-2</v>
      </c>
      <c r="G79" s="260"/>
      <c r="H79" s="259">
        <f>H76-H77-H78</f>
        <v>379519</v>
      </c>
      <c r="I79" s="258">
        <f>H79/H74</f>
        <v>7.868576675803711E-2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10228</v>
      </c>
      <c r="D81" s="159">
        <f>C81/$C$74</f>
        <v>2.1205737325435711E-3</v>
      </c>
      <c r="E81" s="180">
        <f>E74*F81</f>
        <v>10228</v>
      </c>
      <c r="F81" s="160">
        <f>I81</f>
        <v>2.1205737325435711E-3</v>
      </c>
      <c r="H81" s="238">
        <f>Inputs!F94</f>
        <v>10228</v>
      </c>
      <c r="I81" s="160">
        <f>H81/$H$74</f>
        <v>2.1205737325435711E-3</v>
      </c>
      <c r="K81" s="24"/>
    </row>
    <row r="82" spans="1:11" ht="15" customHeight="1" x14ac:dyDescent="0.4">
      <c r="B82" s="28" t="s">
        <v>232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369291</v>
      </c>
      <c r="D83" s="164">
        <f>C83/$C$74</f>
        <v>7.6565193025493528E-2</v>
      </c>
      <c r="E83" s="165">
        <f>E79-E81-E82-E80</f>
        <v>369291</v>
      </c>
      <c r="F83" s="164">
        <f>E83/E74</f>
        <v>7.6565193025493528E-2</v>
      </c>
      <c r="H83" s="165">
        <f>H79-H81-H82-H80</f>
        <v>369291</v>
      </c>
      <c r="I83" s="164">
        <f>H83/$H$74</f>
        <v>7.6565193025493528E-2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276968.25</v>
      </c>
      <c r="D85" s="258">
        <f>C85/$C$74</f>
        <v>5.7423894769120153E-2</v>
      </c>
      <c r="E85" s="264">
        <f>E83*(1-F84)</f>
        <v>276968.25</v>
      </c>
      <c r="F85" s="258">
        <f>E85/E74</f>
        <v>5.7423894769120153E-2</v>
      </c>
      <c r="G85" s="260"/>
      <c r="H85" s="264">
        <f>H83*(1-I84)</f>
        <v>276968.25</v>
      </c>
      <c r="I85" s="258">
        <f>H85/$H$74</f>
        <v>5.7423894769120153E-2</v>
      </c>
      <c r="K85" s="24"/>
    </row>
    <row r="86" spans="1:11" ht="15" customHeight="1" x14ac:dyDescent="0.4">
      <c r="B86" s="87" t="s">
        <v>153</v>
      </c>
      <c r="C86" s="167">
        <f>C85*Data!C4/Common_Shares</f>
        <v>4.0854039471861746E-2</v>
      </c>
      <c r="D86" s="209"/>
      <c r="E86" s="168">
        <f>E85*Data!C4/Common_Shares</f>
        <v>4.0854039471861746E-2</v>
      </c>
      <c r="F86" s="209"/>
      <c r="H86" s="168">
        <f>H85*Data!C4/Common_Shares</f>
        <v>4.0854039471861746E-2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0.24910999677964479</v>
      </c>
      <c r="D87" s="209"/>
      <c r="E87" s="262">
        <f>E86*Exchange_Rate/Dashboard!G3</f>
        <v>0.24910999677964479</v>
      </c>
      <c r="F87" s="209"/>
      <c r="H87" s="262">
        <f>H86*Exchange_Rate/Dashboard!G3</f>
        <v>0.24910999677964479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1.21E-2</v>
      </c>
      <c r="D88" s="166">
        <f>C88/C86</f>
        <v>0.29617634281510608</v>
      </c>
      <c r="E88" s="170">
        <f>Inputs!E98</f>
        <v>1.21E-2</v>
      </c>
      <c r="F88" s="166">
        <f>E88/E86</f>
        <v>0.29617634281510608</v>
      </c>
      <c r="H88" s="170">
        <f>Inputs!F98</f>
        <v>1.21E-2</v>
      </c>
      <c r="I88" s="166">
        <f>H88/H86</f>
        <v>0.29617634281510608</v>
      </c>
      <c r="K88" s="24"/>
    </row>
    <row r="89" spans="1:11" ht="15" customHeight="1" x14ac:dyDescent="0.4">
      <c r="B89" s="87" t="s">
        <v>208</v>
      </c>
      <c r="C89" s="261">
        <f>C88*Exchange_Rate/Dashboard!G3</f>
        <v>7.3780487804878045E-2</v>
      </c>
      <c r="D89" s="209"/>
      <c r="E89" s="261">
        <f>E88*Exchange_Rate/Dashboard!G3</f>
        <v>7.3780487804878045E-2</v>
      </c>
      <c r="F89" s="209"/>
      <c r="H89" s="261">
        <f>H88*Exchange_Rate/Dashboard!G3</f>
        <v>7.3780487804878045E-2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196</v>
      </c>
      <c r="F93" s="144">
        <f>FV(E87,D93,0,-(E86/(C93-D94)))*Exchange_Rate</f>
        <v>2.0492109740594362</v>
      </c>
      <c r="H93" s="87" t="s">
        <v>196</v>
      </c>
      <c r="I93" s="144">
        <f>FV(H87,D93,0,-(H86/(C93-D94)))*Exchange_Rate</f>
        <v>2.0492109740594362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0.28491227353218662</v>
      </c>
      <c r="H94" s="87" t="s">
        <v>197</v>
      </c>
      <c r="I94" s="144">
        <f>FV(H89,D93,0,-(H88/(C93-D94)))*Exchange_Rate</f>
        <v>0.28491227353218662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6907047.680273477</v>
      </c>
      <c r="D97" s="213"/>
      <c r="E97" s="123">
        <f>PV(C94,D93,0,-F93)</f>
        <v>1.0188200220202992</v>
      </c>
      <c r="F97" s="213"/>
      <c r="H97" s="123">
        <f>PV(C94,D93,0,-I93)</f>
        <v>1.0188200220202992</v>
      </c>
      <c r="I97" s="123">
        <f>PV(C93,D93,0,-I93)</f>
        <v>1.3906300823384445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6907047.680273477</v>
      </c>
      <c r="D100" s="109">
        <f>MIN(F100*(1-C94),E100)</f>
        <v>0.86599701871725432</v>
      </c>
      <c r="E100" s="109">
        <f>MAX(E97+H98+E99,0)</f>
        <v>1.0188200220202992</v>
      </c>
      <c r="F100" s="109">
        <f>(E100+H100)/2</f>
        <v>1.0188200220202992</v>
      </c>
      <c r="H100" s="109">
        <f>MAX(C100*Data!$C$4/Common_Shares,0)</f>
        <v>1.0188200220202992</v>
      </c>
      <c r="I100" s="109">
        <f>MAX(I97+H98+H99,0)</f>
        <v>1.3906300823384445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960322.13515017694</v>
      </c>
      <c r="D103" s="109">
        <f>MIN(F103*(1-C94),E103)</f>
        <v>0.12040399090097402</v>
      </c>
      <c r="E103" s="123">
        <f>PV(C94,D93,0,-F94)</f>
        <v>0.14165175400114591</v>
      </c>
      <c r="F103" s="109">
        <f>(E103+H103)/2</f>
        <v>0.14165175400114591</v>
      </c>
      <c r="H103" s="123">
        <f>PV(C94,D93,0,-I94)</f>
        <v>0.14165175400114591</v>
      </c>
      <c r="I103" s="109">
        <f>PV(C93,D93,0,-I94)</f>
        <v>0.19334640669838923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3933684.9077118267</v>
      </c>
      <c r="D106" s="109">
        <f>(D100+D103)/2</f>
        <v>0.49320050480911415</v>
      </c>
      <c r="E106" s="123">
        <f>(E100+E103)/2</f>
        <v>0.58023588801072257</v>
      </c>
      <c r="F106" s="109">
        <f>(F100+F103)/2</f>
        <v>0.58023588801072257</v>
      </c>
      <c r="H106" s="123">
        <f>(H100+H103)/2</f>
        <v>0.58023588801072257</v>
      </c>
      <c r="I106" s="123">
        <f>(I100+I103)/2</f>
        <v>0.79198824451841687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