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E4F69BD-53D9-4A45-8771-83EFEF3C226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34" i="2"/>
  <c r="C35" i="2"/>
  <c r="C30" i="2"/>
  <c r="E34" i="2"/>
  <c r="E27" i="2" s="1"/>
  <c r="F34" i="2"/>
  <c r="F27" i="2" s="1"/>
  <c r="G34" i="2"/>
  <c r="G27" i="2" s="1"/>
  <c r="H34" i="2"/>
  <c r="I34" i="2"/>
  <c r="I27" i="2" s="1"/>
  <c r="J34" i="2"/>
  <c r="K34" i="2"/>
  <c r="K27" i="2" s="1"/>
  <c r="L34" i="2"/>
  <c r="L27" i="2" s="1"/>
  <c r="M34" i="2"/>
  <c r="M27" i="2" s="1"/>
  <c r="D34" i="2"/>
  <c r="D30" i="2"/>
  <c r="H27" i="2"/>
  <c r="J27" i="2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5" i="4" l="1"/>
  <c r="F96" i="4"/>
  <c r="F97" i="4"/>
  <c r="D53" i="4"/>
  <c r="D37" i="2"/>
  <c r="D27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E3" i="3" l="1"/>
  <c r="B41" i="4"/>
  <c r="F81" i="3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<sst xmlns="http://schemas.openxmlformats.org/spreadsheetml/2006/main" count="389" uniqueCount="274">
  <si>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</si>
  <si>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</si>
  <si>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</si>
  <si>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</si>
  <si>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</si>
  <si>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</si>
  <si>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</si>
  <si>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</si>
  <si>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</si>
  <si>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</si>
  <si>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</si>
  <si>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</si>
  <si>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</si>
  <si>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</si>
  <si>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</si>
  <si>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</si>
  <si>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</si>
  <si>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</si>
  <si>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</si>
  <si>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</si>
  <si>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</si>
  <si>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</si>
  <si>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</si>
  <si>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</si>
  <si>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</si>
  <si>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</si>
  <si>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</si>
  <si>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</si>
  <si>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</si>
  <si>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</si>
  <si>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</si>
  <si>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</si>
  <si>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</si>
  <si>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</si>
  <si>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</si>
  <si>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</si>
  <si>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</si>
  <si>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</si>
  <si>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</si>
  <si>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</si>
  <si>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</si>
  <si>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</si>
  <si>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</si>
  <si>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</si>
  <si>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</si>
  <si>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</si>
  <si>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</si>
  <si>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</si>
  <si>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</si>
  <si>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</si>
  <si>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</si>
  <si>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</si>
  <si>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</si>
  <si>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</si>
  <si>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</si>
  <si>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</si>
  <si>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</si>
  <si>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</si>
  <si>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</si>
  <si>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</si>
  <si>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</si>
  <si>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</si>
  <si>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</si>
  <si>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</si>
  <si>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</si>
  <si>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</si>
  <si>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</si>
  <si>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</si>
  <si>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</si>
  <si>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</si>
  <si>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</si>
  <si>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</si>
  <si>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</si>
  <si>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</si>
  <si>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</si>
  <si>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</si>
  <si>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</si>
  <si>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</si>
  <si>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</si>
  <si>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</si>
  <si>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</si>
  <si>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</si>
  <si>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</si>
  <si>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</si>
  <si>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</si>
  <si>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</si>
  <si>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</si>
  <si>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</si>
  <si>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</si>
  <si>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</si>
  <si>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</si>
  <si>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</si>
  <si>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</si>
  <si>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</si>
  <si>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</si>
  <si>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</si>
  <si>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</si>
  <si>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</si>
  <si>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</si>
  <si>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</si>
  <si>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</si>
  <si>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</si>
  <si>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</si>
  <si>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</si>
  <si>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</si>
  <si>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</si>
  <si>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</si>
  <si>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</si>
  <si>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</si>
  <si>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</si>
  <si>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</si>
  <si>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</si>
  <si>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</si>
  <si>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</si>
  <si>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</si>
  <si>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</si>
  <si>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</si>
  <si>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</si>
  <si>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</si>
  <si>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</si>
  <si>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</si>
  <si>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</si>
  <si>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</si>
  <si>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</si>
  <si>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</si>
  <si>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</si>
  <si>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</si>
  <si>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</si>
  <si>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</si>
  <si>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</si>
  <si>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</si>
  <si>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</si>
  <si>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</si>
  <si>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</si>
  <si>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</si>
  <si>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</si>
  <si>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</si>
  <si>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</si>
  <si>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</si>
  <si>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</si>
  <si>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</si>
  <si>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</si>
  <si>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</si>
  <si>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</si>
  <si>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</si>
  <si>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</si>
  <si>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</si>
  <si>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</si>
  <si>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</si>
  <si>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</si>
  <si>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</si>
  <si>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</si>
  <si>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</si>
  <si>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</si>
  <si>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</si>
  <si>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</si>
  <si>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</si>
  <si>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</si>
  <si>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</si>
  <si>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</si>
  <si>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</si>
  <si>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</si>
  <si>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</si>
  <si>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</si>
  <si>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</si>
  <si>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</si>
  <si>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</si>
  <si>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</si>
  <si>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</si>
  <si>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</si>
  <si>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</si>
  <si>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</si>
  <si>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</si>
  <si>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</si>
  <si>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</si>
  <si>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</si>
  <si>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</si>
  <si>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</si>
  <si>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</si>
  <si>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</si>
  <si>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</si>
  <si>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</si>
  <si>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</si>
  <si>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</si>
  <si>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</si>
  <si>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</si>
  <si>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</si>
  <si>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</si>
  <si>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</si>
  <si>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</si>
  <si>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</si>
  <si>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</si>
  <si>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</si>
  <si>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</si>
  <si>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</si>
  <si>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</si>
  <si>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</si>
  <si>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</si>
  <si>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</si>
  <si>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</si>
  <si>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</si>
  <si>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</si>
  <si>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</si>
  <si>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</si>
  <si>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</si>
  <si>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</si>
  <si>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</si>
  <si>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</si>
  <si>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</si>
  <si>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</si>
  <si>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</si>
  <si>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</si>
  <si>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</si>
  <si>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</si>
  <si>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</si>
  <si>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</si>
  <si>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</si>
  <si>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</si>
  <si>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</si>
  <si>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</si>
  <si>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</si>
  <si>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</si>
  <si>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</si>
  <si>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</si>
  <si>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</si>
  <si>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</si>
  <si>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</si>
  <si>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</si>
  <si>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</si>
  <si>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</si>
  <si>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</si>
  <si>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</si>
  <si>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</si>
  <si>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</si>
  <si>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</si>
  <si>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</si>
  <si>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</si>
  <si>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</si>
  <si>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</si>
  <si>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</si>
  <si>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</si>
  <si>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</si>
  <si>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</si>
  <si>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</si>
  <si>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</si>
  <si>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</si>
  <si>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</si>
  <si>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</si>
  <si>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</si>
  <si>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</si>
  <si>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</si>
  <si>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</si>
  <si>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</si>
  <si>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</si>
  <si>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</si>
  <si>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</si>
  <si>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</si>
  <si>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</si>
  <si>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</si>
  <si>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</si>
  <si>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</si>
  <si>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</si>
  <si>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</si>
  <si>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</si>
  <si>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0939.HK</t>
  </si>
  <si>
    <t>建设银行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</si>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</sst>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264</v>
      </c>
    </row>
    <row r="5" spans="1:5" ht="13.9" x14ac:dyDescent="0.4">
      <c r="B5" s="141" t="s">
        <v>181</v>
      </c>
      <c r="C5" s="191" t="s">
        <v>265</v>
      </c>
    </row>
    <row r="6" spans="1:5" ht="13.9" x14ac:dyDescent="0.4">
      <c r="B6" s="141" t="s">
        <v>155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266</v>
      </c>
      <c r="E8" s="267"/>
    </row>
    <row r="9" spans="1:5" ht="13.9" x14ac:dyDescent="0.4">
      <c r="B9" s="140" t="s">
        <v>202</v>
      </c>
      <c r="C9" s="192" t="s">
        <v>267</v>
      </c>
    </row>
    <row r="10" spans="1:5" ht="13.9" x14ac:dyDescent="0.4">
      <c r="B10" s="140" t="s">
        <v>203</v>
      </c>
      <c r="C10" s="193">
        <v>250010977486</v>
      </c>
    </row>
    <row r="11" spans="1:5" ht="13.9" x14ac:dyDescent="0.4">
      <c r="B11" s="140" t="s">
        <v>204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237</v>
      </c>
      <c r="C15" s="176" t="s">
        <v>241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210</v>
      </c>
      <c r="C17" s="242" t="s">
        <v>269</v>
      </c>
      <c r="D17" s="24"/>
    </row>
    <row r="18" spans="2:13" ht="13.9" x14ac:dyDescent="0.4">
      <c r="B18" s="240" t="s">
        <v>224</v>
      </c>
      <c r="C18" s="242" t="s">
        <v>270</v>
      </c>
      <c r="D18" s="24"/>
    </row>
    <row r="19" spans="2:13" ht="13.9" x14ac:dyDescent="0.4">
      <c r="B19" s="240" t="s">
        <v>225</v>
      </c>
      <c r="C19" s="242" t="s">
        <v>270</v>
      </c>
      <c r="D19" s="24"/>
    </row>
    <row r="20" spans="2:13" ht="13.9" x14ac:dyDescent="0.4">
      <c r="B20" s="241" t="s">
        <v>214</v>
      </c>
      <c r="C20" s="242" t="s">
        <v>270</v>
      </c>
      <c r="D20" s="24"/>
    </row>
    <row r="21" spans="2:13" ht="13.9" x14ac:dyDescent="0.4">
      <c r="B21" s="224" t="s">
        <v>217</v>
      </c>
      <c r="C21" s="242" t="s">
        <v>269</v>
      </c>
      <c r="D21" s="24"/>
    </row>
    <row r="22" spans="2:13" ht="78.75" x14ac:dyDescent="0.4">
      <c r="B22" s="226" t="s">
        <v>216</v>
      </c>
      <c r="C22" s="243" t="s">
        <v>271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1402495</v>
      </c>
      <c r="D25" s="149">
        <v>1324203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669001</v>
      </c>
      <c r="D26" s="150">
        <v>567720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220152</v>
      </c>
      <c r="D27" s="150">
        <v>219991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238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-193</v>
      </c>
      <c r="D30" s="150">
        <v>136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263</v>
      </c>
      <c r="C34" s="217"/>
      <c r="D34" s="150">
        <v>11972903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>
        <v>213823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>
        <v>8852611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 Error</v>
      </c>
      <c r="C37" s="150"/>
      <c r="D37" s="150">
        <v>2466431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262</v>
      </c>
      <c r="C38" s="217"/>
      <c r="D38" s="150">
        <v>241133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 Error</v>
      </c>
      <c r="C41" s="150"/>
      <c r="D41" s="150">
        <v>12220942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>
        <v>-498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>
        <v>3475378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>
        <f>0.4+0.197</f>
        <v>0.59699999999999998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234</v>
      </c>
      <c r="C45" s="152">
        <f>IF(C44="","",C44*Exchange_Rate/Dashboard!$G$3)</f>
        <v>0.10163192904678878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232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>
        <v>3339708</v>
      </c>
      <c r="D48" s="60">
        <v>0.9</v>
      </c>
      <c r="E48" s="112"/>
    </row>
    <row r="49" spans="2:5" ht="13.9" x14ac:dyDescent="0.4">
      <c r="B49" s="1" t="s">
        <v>130</v>
      </c>
      <c r="C49" s="59">
        <v>683021</v>
      </c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>
        <v>2962684</v>
      </c>
      <c r="D51" s="60">
        <v>0.6</v>
      </c>
      <c r="E51" s="112"/>
    </row>
    <row r="52" spans="2:5" ht="13.9" x14ac:dyDescent="0.4">
      <c r="B52" s="3" t="s">
        <v>40</v>
      </c>
      <c r="C52" s="59">
        <v>6961515</v>
      </c>
      <c r="D52" s="60">
        <v>0.5</v>
      </c>
      <c r="E52" s="112"/>
    </row>
    <row r="53" spans="2:5" ht="13.9" x14ac:dyDescent="0.4">
      <c r="B53" s="1" t="s">
        <v>150</v>
      </c>
      <c r="C53" s="59">
        <v>25589624</v>
      </c>
      <c r="D53" s="60">
        <f>D50</f>
        <v>0.6</v>
      </c>
      <c r="E53" s="112"/>
    </row>
    <row r="54" spans="2:5" ht="13.9" x14ac:dyDescent="0.4">
      <c r="B54" s="3" t="s">
        <v>243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>
        <v>82672</v>
      </c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242</v>
      </c>
      <c r="C64" s="59"/>
      <c r="D64" s="60">
        <v>0.4</v>
      </c>
      <c r="E64" s="112"/>
    </row>
    <row r="65" spans="2:5" ht="13.9" x14ac:dyDescent="0.4">
      <c r="B65" s="3" t="s">
        <v>66</v>
      </c>
      <c r="C65" s="59">
        <v>21347</v>
      </c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>
        <v>4094</v>
      </c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>
        <v>181735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>
        <v>5722</v>
      </c>
      <c r="D70" s="60">
        <v>0.05</v>
      </c>
      <c r="E70" s="112"/>
    </row>
    <row r="71" spans="2:5" ht="13.9" x14ac:dyDescent="0.4">
      <c r="B71" s="3" t="s">
        <v>71</v>
      </c>
      <c r="C71" s="59">
        <v>118797</v>
      </c>
      <c r="D71" s="60">
        <f>D58</f>
        <v>0.9</v>
      </c>
      <c r="E71" s="112"/>
    </row>
    <row r="72" spans="2:5" ht="14.25" thickBot="1" x14ac:dyDescent="0.45">
      <c r="B72" s="246" t="s">
        <v>72</v>
      </c>
      <c r="C72" s="247">
        <v>343468</v>
      </c>
      <c r="D72" s="248">
        <v>0</v>
      </c>
      <c r="E72" s="249"/>
    </row>
    <row r="73" spans="2:5" ht="13.9" x14ac:dyDescent="0.4">
      <c r="B73" s="3" t="s">
        <v>35</v>
      </c>
      <c r="C73" s="59">
        <v>33710837</v>
      </c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>
        <v>2498474</v>
      </c>
    </row>
    <row r="77" spans="2:5" ht="14.25" thickBot="1" x14ac:dyDescent="0.45">
      <c r="B77" s="80" t="s">
        <v>15</v>
      </c>
      <c r="C77" s="83">
        <v>37038911</v>
      </c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206</v>
      </c>
      <c r="C83" s="59">
        <v>3234661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7">
        <v>5</v>
      </c>
    </row>
    <row r="87" spans="2:8" ht="13.9" x14ac:dyDescent="0.4">
      <c r="B87" s="10" t="s">
        <v>231</v>
      </c>
      <c r="C87" s="236" t="s">
        <v>272</v>
      </c>
      <c r="D87" s="269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1402495</v>
      </c>
      <c r="D91" s="209"/>
      <c r="E91" s="251">
        <f>C91</f>
        <v>1402495</v>
      </c>
      <c r="F91" s="251">
        <f>C91</f>
        <v>1402495</v>
      </c>
    </row>
    <row r="92" spans="2:8" ht="13.9" x14ac:dyDescent="0.4">
      <c r="B92" s="104" t="s">
        <v>102</v>
      </c>
      <c r="C92" s="77">
        <f>C26</f>
        <v>669001</v>
      </c>
      <c r="D92" s="159">
        <f>C92/C91</f>
        <v>0.47700776116848903</v>
      </c>
      <c r="E92" s="252">
        <f>E91*D92</f>
        <v>669001</v>
      </c>
      <c r="F92" s="252">
        <f>F91*D92</f>
        <v>669001</v>
      </c>
    </row>
    <row r="93" spans="2:8" ht="13.9" x14ac:dyDescent="0.4">
      <c r="B93" s="104" t="s">
        <v>230</v>
      </c>
      <c r="C93" s="77">
        <f>C27+C28</f>
        <v>220152</v>
      </c>
      <c r="D93" s="159">
        <f>C93/C91</f>
        <v>0.15697168260849415</v>
      </c>
      <c r="E93" s="252">
        <f>E91*D93</f>
        <v>220152</v>
      </c>
      <c r="F93" s="252">
        <f>F91*D93</f>
        <v>220152</v>
      </c>
    </row>
    <row r="94" spans="2:8" ht="13.9" x14ac:dyDescent="0.4">
      <c r="B94" s="104" t="s">
        <v>238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229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193</v>
      </c>
      <c r="C98" s="237">
        <f>C44</f>
        <v>0.59699999999999998</v>
      </c>
      <c r="D98" s="266"/>
      <c r="E98" s="254">
        <f>F98</f>
        <v>0.4</v>
      </c>
      <c r="F98" s="254">
        <v>0.4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0939.HK</v>
      </c>
      <c r="D3" s="290"/>
      <c r="E3" s="87"/>
      <c r="F3" s="3" t="s">
        <v>1</v>
      </c>
      <c r="G3" s="132">
        <v>6.28</v>
      </c>
      <c r="H3" s="134" t="s">
        <v>273</v>
      </c>
    </row>
    <row r="4" spans="1:10" ht="15.75" customHeight="1" x14ac:dyDescent="0.4">
      <c r="B4" s="35" t="s">
        <v>181</v>
      </c>
      <c r="C4" s="291" t="str">
        <f>Inputs!C5</f>
        <v>建设银行</v>
      </c>
      <c r="D4" s="292"/>
      <c r="E4" s="87"/>
      <c r="F4" s="3" t="s">
        <v>2</v>
      </c>
      <c r="G4" s="295">
        <f>Inputs!C10</f>
        <v>250010977486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45605</v>
      </c>
      <c r="D5" s="294"/>
      <c r="E5" s="34"/>
      <c r="F5" s="35" t="s">
        <v>96</v>
      </c>
      <c r="G5" s="287">
        <f>G3*G4/1000000</f>
        <v>1570068.9386120802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1.0690929889678955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235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CN</v>
      </c>
      <c r="F16" s="110" t="s">
        <v>166</v>
      </c>
    </row>
    <row r="17" spans="1:8" ht="15.75" customHeight="1" thickTop="1" x14ac:dyDescent="0.4">
      <c r="B17" s="87" t="s">
        <v>236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260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250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248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255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256</v>
      </c>
      <c r="C23" s="282">
        <f>Data!C13</f>
        <v>0.36602055622301682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257</v>
      </c>
      <c r="C24" s="171">
        <f>Fin_Analysis!I81</f>
        <v>0</v>
      </c>
      <c r="F24" s="140" t="s">
        <v>240</v>
      </c>
      <c r="G24" s="268">
        <f>G3/(Fin_Analysis!H86*G7)</f>
        <v>3.814478564014625</v>
      </c>
    </row>
    <row r="25" spans="1:8" ht="15.75" customHeight="1" x14ac:dyDescent="0.4">
      <c r="B25" s="137" t="s">
        <v>258</v>
      </c>
      <c r="C25" s="171">
        <f>Fin_Analysis!I80</f>
        <v>0</v>
      </c>
      <c r="F25" s="140" t="s">
        <v>162</v>
      </c>
      <c r="G25" s="171">
        <f>Fin_Analysis!I88</f>
        <v>0.2597472795768383</v>
      </c>
    </row>
    <row r="26" spans="1:8" ht="15.75" customHeight="1" x14ac:dyDescent="0.4">
      <c r="B26" s="138" t="s">
        <v>259</v>
      </c>
      <c r="C26" s="171">
        <f>Fin_Analysis!I80+Fin_Analysis!I82</f>
        <v>0</v>
      </c>
      <c r="F26" s="141" t="s">
        <v>179</v>
      </c>
      <c r="G26" s="178">
        <f>Fin_Analysis!H88*Exchange_Rate/G3</f>
        <v>6.8095094838719464E-2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239</v>
      </c>
      <c r="H28" s="285"/>
    </row>
    <row r="29" spans="1:8" ht="15.75" customHeight="1" x14ac:dyDescent="0.4">
      <c r="B29" s="87" t="s">
        <v>160</v>
      </c>
      <c r="C29" s="130">
        <f>IF(Fin_Analysis!C108="Profit",Fin_Analysis!D100,IF(Fin_Analysis!C108="Dividend",Fin_Analysis!D103,Fin_Analysis!D106))</f>
        <v>3.7920051382974691</v>
      </c>
      <c r="D29" s="129">
        <f>G29*(1+G20)</f>
        <v>6.8231997623257747</v>
      </c>
      <c r="E29" s="87"/>
      <c r="F29" s="131">
        <f>IF(Fin_Analysis!C108="Profit",Fin_Analysis!F100,IF(Fin_Analysis!C108="Dividend",Fin_Analysis!F103,Fin_Analysis!F106))</f>
        <v>4.4611825156440812</v>
      </c>
      <c r="G29" s="286">
        <f>IF(Fin_Analysis!C108="Profit",Fin_Analysis!I100,IF(Fin_Analysis!C108="Dividend",Fin_Analysis!I103,Fin_Analysis!I106))</f>
        <v>5.9332171846311086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Strongly agree</v>
      </c>
    </row>
    <row r="34" spans="1:3" ht="15.75" customHeight="1" x14ac:dyDescent="0.4">
      <c r="A34"/>
      <c r="B34" s="19" t="s">
        <v>211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agree</v>
      </c>
    </row>
    <row r="37" spans="1:3" ht="15.75" customHeight="1" x14ac:dyDescent="0.4">
      <c r="A37"/>
      <c r="B37" s="20" t="s">
        <v>225</v>
      </c>
      <c r="C37" s="245" t="str">
        <f>Inputs!C19</f>
        <v>agree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agree</v>
      </c>
    </row>
    <row r="40" spans="1:3" ht="15.75" customHeight="1" x14ac:dyDescent="0.4">
      <c r="A40"/>
      <c r="B40" s="1" t="s">
        <v>217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186</v>
      </c>
      <c r="F3" s="85" t="str">
        <f>H14</f>
        <v/>
      </c>
      <c r="G3" s="85">
        <f>C14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1402495</v>
      </c>
      <c r="D6" s="200">
        <f>IF(Inputs!D25="","",Inputs!D25)</f>
        <v>1324203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669001</v>
      </c>
      <c r="D8" s="199">
        <f>IF(Inputs!D26="","",Inputs!D26)</f>
        <v>567720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733494</v>
      </c>
      <c r="D9" s="151">
        <f t="shared" si="2"/>
        <v>756483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220152</v>
      </c>
      <c r="D10" s="199">
        <f>IF(Inputs!D27="","",Inputs!D27)</f>
        <v>219991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0</v>
      </c>
      <c r="D12" s="199">
        <f>IF(Inputs!D30="","",MAX(Inputs!D30,0)/(1-Fin_Analysis!$I$84))</f>
        <v>181.33333333333334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0.36602055622301682</v>
      </c>
      <c r="D13" s="229">
        <f t="shared" si="3"/>
        <v>0.40500638245545934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513342</v>
      </c>
      <c r="D14" s="230">
        <f t="shared" ref="D14:M14" si="4">IF(D6="","",D9-D10-MAX(D11,0)-MAX(D12,0))</f>
        <v>536310.66666666663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-4.282716733833368E-2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238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513342</v>
      </c>
      <c r="D22" s="161">
        <f t="shared" ref="D22:M22" si="8">IF(D6="","",D14-MAX(D16,0)-MAX(D17,0)-ABS(MAX(D21,0)-MAX(D19,0)))</f>
        <v>536310.66666666663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0.27451541716726263</v>
      </c>
      <c r="D23" s="153">
        <f t="shared" si="9"/>
        <v>0.30375478684159452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385006.5</v>
      </c>
      <c r="D24" s="77">
        <f>IF(D6="","",D22*(1-Fin_Analysis!$I$84))</f>
        <v>402233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-4.2827167338333749E-2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>
        <f>IF(D34="","",D34+D30)</f>
        <v>14687373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9">
        <f>IF(Inputs!D35="","",Inputs!D35)</f>
        <v>213823</v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9">
        <f>IF(Inputs!D36="","",Inputs!D36)</f>
        <v>8852611</v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9">
        <f>IF(Inputs!D37="","",Inputs!D37)</f>
        <v>2466431</v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36209311</v>
      </c>
      <c r="D31" s="199">
        <f>IF(Inputs!D39="","",Inputs!D39)</f>
        <v>35175</v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9">
        <f>IF(Inputs!D40="","",Inputs!D40)</f>
        <v>67759</v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36209311</v>
      </c>
      <c r="D33" s="77">
        <f t="shared" ref="D33" si="22">IF(OR(D31="",D32=""),"",D31+D32)</f>
        <v>102934</v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>
        <f>IF(Inputs!D41="","",Inputs!D41)</f>
        <v>12220942</v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>
        <f>IF(Inputs!D42="","",Inputs!D42)</f>
        <v>-498</v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>
        <f>IF(Inputs!D43="","",Inputs!D43)</f>
        <v>3475378</v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26926461</v>
      </c>
      <c r="D37" s="65">
        <f t="shared" ref="D37:M37" si="32">IF(D36="","",D27-D36)</f>
        <v>11211995</v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>
        <f>IF(C6="","",C14/MAX(C37,0))</f>
        <v>1.9064592261121876E-2</v>
      </c>
      <c r="D38" s="155">
        <f>IF(D6="","",D14/MAX(D37,0))</f>
        <v>4.7833651965298471E-2</v>
      </c>
      <c r="E38" s="155" t="str">
        <f>IF(E6="","",E14/MAX(E37,0))</f>
        <v/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0.47700776116848903</v>
      </c>
      <c r="D40" s="156">
        <f t="shared" si="34"/>
        <v>0.42872580714588321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0.15697168260849415</v>
      </c>
      <c r="D41" s="153">
        <f t="shared" si="35"/>
        <v>0.16613087268341786</v>
      </c>
      <c r="E41" s="153" t="str">
        <f t="shared" si="35"/>
        <v/>
      </c>
      <c r="F41" s="153" t="str">
        <f t="shared" si="35"/>
        <v/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 t="str">
        <f t="shared" si="36"/>
        <v/>
      </c>
      <c r="F42" s="153" t="str">
        <f t="shared" si="36"/>
        <v/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0</v>
      </c>
      <c r="D43" s="153">
        <f t="shared" si="37"/>
        <v>0</v>
      </c>
      <c r="E43" s="153" t="str">
        <f t="shared" si="37"/>
        <v/>
      </c>
      <c r="F43" s="153" t="str">
        <f t="shared" si="37"/>
        <v/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0</v>
      </c>
      <c r="D44" s="153">
        <f t="shared" si="38"/>
        <v>1.3693771523953151E-4</v>
      </c>
      <c r="E44" s="153" t="str">
        <f t="shared" si="38"/>
        <v/>
      </c>
      <c r="F44" s="153" t="str">
        <f t="shared" si="38"/>
        <v/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0</v>
      </c>
      <c r="D45" s="153">
        <f t="shared" si="39"/>
        <v>0</v>
      </c>
      <c r="E45" s="153" t="str">
        <f t="shared" si="39"/>
        <v/>
      </c>
      <c r="F45" s="153" t="str">
        <f t="shared" si="39"/>
        <v/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0.36602055622301682</v>
      </c>
      <c r="D46" s="153">
        <f t="shared" si="40"/>
        <v>0.40500638245545934</v>
      </c>
      <c r="E46" s="153" t="str">
        <f t="shared" si="40"/>
        <v/>
      </c>
      <c r="F46" s="153" t="str">
        <f t="shared" si="40"/>
        <v/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246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252</v>
      </c>
      <c r="C48" s="272" t="e">
        <f t="shared" ref="C48:M48" si="41">IF(C6="","",C6/C27)</f>
        <v>#DIV/0!</v>
      </c>
      <c r="D48" s="272">
        <f t="shared" si="41"/>
        <v>9.0159281717704043E-2</v>
      </c>
      <c r="E48" s="272" t="str">
        <f t="shared" si="41"/>
        <v/>
      </c>
      <c r="F48" s="272" t="str">
        <f t="shared" si="41"/>
        <v/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253</v>
      </c>
      <c r="C49" s="153">
        <f t="shared" ref="C49:M49" si="42">IF(C28="","",C28/C6)</f>
        <v>0</v>
      </c>
      <c r="D49" s="153">
        <f t="shared" si="42"/>
        <v>0.16147297657534382</v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254</v>
      </c>
      <c r="C50" s="153">
        <f t="shared" ref="C50:M50" si="43">IF(C29="","",C29/C6)</f>
        <v>0</v>
      </c>
      <c r="D50" s="153">
        <f t="shared" si="43"/>
        <v>6.6852370822298397</v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244</v>
      </c>
      <c r="C51" s="153" t="e">
        <f t="shared" ref="C51:M51" si="44">IF(D6="","",C16/(C6-D6))</f>
        <v>#VALUE!</v>
      </c>
      <c r="D51" s="153" t="str">
        <f t="shared" si="44"/>
        <v/>
      </c>
      <c r="E51" s="153" t="str">
        <f t="shared" si="44"/>
        <v/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248</v>
      </c>
      <c r="C53" s="156" t="e">
        <f t="shared" ref="C53:M53" si="45">IF(C34="","",(C34-C35)/C27)</f>
        <v>#DIV/0!</v>
      </c>
      <c r="D53" s="156">
        <f t="shared" si="45"/>
        <v>0.83210523760784183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>
        <f t="shared" ref="C54:M54" si="46">IF(OR(C22="",C33=""),"",IF(C33&lt;=0,"-",C22/C33))</f>
        <v>1.4177071748203107E-2</v>
      </c>
      <c r="D54" s="157">
        <f t="shared" si="46"/>
        <v>5.2102382756588357</v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 t="str">
        <f t="shared" ref="C55:M55" si="47">IF(C22="","",IF(MAX(C17,0)&lt;=0,"-",C17/C22))</f>
        <v>-</v>
      </c>
      <c r="D55" s="153" t="str">
        <f t="shared" si="47"/>
        <v>-</v>
      </c>
      <c r="E55" s="153" t="str">
        <f t="shared" si="47"/>
        <v/>
      </c>
      <c r="F55" s="153" t="str">
        <f t="shared" si="47"/>
        <v/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249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250</v>
      </c>
      <c r="C58" s="274" t="e">
        <f t="shared" ref="C58:M58" si="49">IF(C14="","",C14/(C34-C35))</f>
        <v>#DIV/0!</v>
      </c>
      <c r="D58" s="274">
        <f t="shared" si="49"/>
        <v>4.3882772133780196E-2</v>
      </c>
      <c r="E58" s="274" t="str">
        <f t="shared" si="49"/>
        <v/>
      </c>
      <c r="F58" s="274" t="str">
        <f t="shared" si="49"/>
        <v/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251</v>
      </c>
      <c r="C59" s="274" t="e">
        <f t="shared" ref="C59:M59" si="50">IF(C22="","",C22/(C34-C35))</f>
        <v>#DIV/0!</v>
      </c>
      <c r="D59" s="274">
        <f t="shared" si="50"/>
        <v>4.3882772133780196E-2</v>
      </c>
      <c r="E59" s="274" t="str">
        <f t="shared" si="50"/>
        <v/>
      </c>
      <c r="F59" s="274" t="str">
        <f t="shared" si="50"/>
        <v/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3255476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3234661</v>
      </c>
      <c r="K3" s="24"/>
    </row>
    <row r="4" spans="1:11" ht="15" customHeight="1" x14ac:dyDescent="0.4">
      <c r="B4" s="3" t="s">
        <v>23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1.0674328950978067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 t="e">
        <f>(E49-I49-E53)</f>
        <v>#DIV/0!</v>
      </c>
      <c r="E6" s="56" t="e">
        <f>1-D6/D3</f>
        <v>#DIV/0!</v>
      </c>
      <c r="F6" s="87"/>
      <c r="G6" s="87"/>
      <c r="H6" s="1" t="s">
        <v>26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 t="e">
        <f>MAX((D6*Exchange_Rate*Data!C4)/Common_Shares, 0)</f>
        <v>#DIV/0!</v>
      </c>
      <c r="E7" s="11" t="str">
        <f>Dashboard!H3</f>
        <v>HKD</v>
      </c>
      <c r="H7" s="1" t="s">
        <v>27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3339708</v>
      </c>
      <c r="D11" s="198">
        <f>Inputs!D48</f>
        <v>0.9</v>
      </c>
      <c r="E11" s="88">
        <f t="shared" ref="E11:E22" si="0">C11*D11</f>
        <v>3005737.2</v>
      </c>
      <c r="F11" s="112"/>
      <c r="G11" s="87"/>
      <c r="H11" s="3" t="s">
        <v>35</v>
      </c>
      <c r="I11" s="40">
        <f>Inputs!C73</f>
        <v>33710837</v>
      </c>
      <c r="J11" s="87"/>
      <c r="K11" s="24"/>
    </row>
    <row r="12" spans="1:11" ht="13.9" x14ac:dyDescent="0.4">
      <c r="B12" s="1" t="s">
        <v>130</v>
      </c>
      <c r="C12" s="40">
        <f>Inputs!C49</f>
        <v>683021</v>
      </c>
      <c r="D12" s="198">
        <f>Inputs!D49</f>
        <v>0.8</v>
      </c>
      <c r="E12" s="88">
        <f t="shared" si="0"/>
        <v>546416.80000000005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2962684</v>
      </c>
      <c r="D14" s="198">
        <f>Inputs!D51</f>
        <v>0.6</v>
      </c>
      <c r="E14" s="88">
        <f t="shared" si="0"/>
        <v>1777610.4</v>
      </c>
      <c r="F14" s="112"/>
      <c r="G14" s="87"/>
      <c r="H14" s="86" t="s">
        <v>39</v>
      </c>
      <c r="I14" s="205">
        <f>Inputs!C76</f>
        <v>2498474</v>
      </c>
      <c r="J14" s="87"/>
      <c r="K14" s="27"/>
    </row>
    <row r="15" spans="1:11" ht="13.9" x14ac:dyDescent="0.4">
      <c r="B15" s="3" t="s">
        <v>40</v>
      </c>
      <c r="C15" s="40">
        <f>Inputs!C52</f>
        <v>6961515</v>
      </c>
      <c r="D15" s="198">
        <f>Inputs!D52</f>
        <v>0.5</v>
      </c>
      <c r="E15" s="88">
        <f t="shared" si="0"/>
        <v>3480757.5</v>
      </c>
      <c r="F15" s="112"/>
      <c r="G15" s="87"/>
      <c r="H15" s="1" t="s">
        <v>50</v>
      </c>
      <c r="I15" s="84">
        <f>SUM(I11:I14)</f>
        <v>36209311</v>
      </c>
      <c r="J15" s="87"/>
    </row>
    <row r="16" spans="1:11" ht="13.9" x14ac:dyDescent="0.4">
      <c r="B16" s="1" t="s">
        <v>150</v>
      </c>
      <c r="C16" s="40">
        <f>Inputs!C53</f>
        <v>25589624</v>
      </c>
      <c r="D16" s="198">
        <f>Inputs!D53</f>
        <v>0.6</v>
      </c>
      <c r="E16" s="88">
        <f t="shared" si="0"/>
        <v>15353774.399999999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3">
        <f>E24/$E$28</f>
        <v>0.22056360896385802</v>
      </c>
      <c r="G24" s="87"/>
    </row>
    <row r="25" spans="2:10" ht="15" customHeight="1" x14ac:dyDescent="0.4">
      <c r="B25" s="23" t="s">
        <v>51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3">
        <f>E25/$E$28</f>
        <v>0.77943639103614204</v>
      </c>
      <c r="G25" s="87"/>
      <c r="H25" s="23" t="s">
        <v>52</v>
      </c>
      <c r="I25" s="63">
        <f>E28/I28</f>
        <v>0.65240299046589134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54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56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2"/>
      <c r="G28" s="87"/>
      <c r="H28" s="78" t="s">
        <v>15</v>
      </c>
      <c r="I28" s="206">
        <f>Inputs!C77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82672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21347</v>
      </c>
      <c r="D35" s="198">
        <f>Inputs!D65</f>
        <v>0.1</v>
      </c>
      <c r="E35" s="88">
        <f t="shared" si="1"/>
        <v>2134.7000000000003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4094</v>
      </c>
      <c r="D37" s="198">
        <f>Inputs!D67</f>
        <v>0.1</v>
      </c>
      <c r="E37" s="88">
        <f t="shared" si="1"/>
        <v>409.40000000000003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181735</v>
      </c>
      <c r="D38" s="198">
        <f>Inputs!D68</f>
        <v>0.1</v>
      </c>
      <c r="E38" s="88">
        <f t="shared" si="1"/>
        <v>18173.5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5722</v>
      </c>
      <c r="D40" s="198">
        <f>Inputs!D70</f>
        <v>0.05</v>
      </c>
      <c r="E40" s="88">
        <f t="shared" si="1"/>
        <v>286.10000000000002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118797</v>
      </c>
      <c r="D41" s="198">
        <f>Inputs!D71</f>
        <v>0.9</v>
      </c>
      <c r="E41" s="88">
        <f t="shared" si="1"/>
        <v>106917.3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343468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77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78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79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82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e">
        <f>IF(E53=D4,"BV of the MI","P/B Approach")</f>
        <v>#DIV/0!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20815</v>
      </c>
      <c r="D53" s="29" t="e">
        <f>IF(E53=0, 0,E53/C53)</f>
        <v>#DIV/0!</v>
      </c>
      <c r="E53" s="88" t="e">
        <f>IF(C53=0,0,MAX(C53,C53*Dashboard!G23))</f>
        <v>#DIV/0!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36209311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3422380</v>
      </c>
      <c r="D62" s="107">
        <f t="shared" si="2"/>
        <v>0.87825933999146799</v>
      </c>
      <c r="E62" s="118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1402495</v>
      </c>
      <c r="D74" s="209"/>
      <c r="E74" s="238">
        <f>Inputs!E91</f>
        <v>1402495</v>
      </c>
      <c r="F74" s="209"/>
      <c r="H74" s="238">
        <f>Inputs!F91</f>
        <v>1402495</v>
      </c>
      <c r="I74" s="209"/>
      <c r="K74" s="24"/>
    </row>
    <row r="75" spans="1:11" ht="15" customHeight="1" x14ac:dyDescent="0.4">
      <c r="B75" s="104" t="s">
        <v>102</v>
      </c>
      <c r="C75" s="77">
        <f>Data!C8</f>
        <v>669001</v>
      </c>
      <c r="D75" s="159">
        <f>C75/$C$74</f>
        <v>0.47700776116848903</v>
      </c>
      <c r="E75" s="238">
        <f>Inputs!E92</f>
        <v>669001</v>
      </c>
      <c r="F75" s="160">
        <f>E75/E74</f>
        <v>0.47700776116848903</v>
      </c>
      <c r="H75" s="238">
        <f>Inputs!F92</f>
        <v>669001</v>
      </c>
      <c r="I75" s="160">
        <f>H75/$H$74</f>
        <v>0.47700776116848903</v>
      </c>
      <c r="K75" s="24"/>
    </row>
    <row r="76" spans="1:11" ht="15" customHeight="1" x14ac:dyDescent="0.4">
      <c r="B76" s="35" t="s">
        <v>92</v>
      </c>
      <c r="C76" s="161">
        <f>C74-C75</f>
        <v>733494</v>
      </c>
      <c r="D76" s="210"/>
      <c r="E76" s="162">
        <f>E74-E75</f>
        <v>733494</v>
      </c>
      <c r="F76" s="210"/>
      <c r="H76" s="162">
        <f>H74-H75</f>
        <v>733494</v>
      </c>
      <c r="I76" s="210"/>
      <c r="K76" s="24"/>
    </row>
    <row r="77" spans="1:11" ht="15" customHeight="1" x14ac:dyDescent="0.4">
      <c r="B77" s="104" t="s">
        <v>230</v>
      </c>
      <c r="C77" s="77">
        <f>Data!C10+MAX(Data!C11,0)</f>
        <v>220152</v>
      </c>
      <c r="D77" s="159">
        <f>C77/$C$74</f>
        <v>0.15697168260849415</v>
      </c>
      <c r="E77" s="238">
        <f>Inputs!E93</f>
        <v>220152</v>
      </c>
      <c r="F77" s="160">
        <f>E77/E74</f>
        <v>0.15697168260849415</v>
      </c>
      <c r="H77" s="238">
        <f>Inputs!F93</f>
        <v>220152</v>
      </c>
      <c r="I77" s="160">
        <f>H77/$H$74</f>
        <v>0.15697168260849415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218</v>
      </c>
      <c r="C79" s="257">
        <f>C76-C77-C78</f>
        <v>513342</v>
      </c>
      <c r="D79" s="258">
        <f>C79/C74</f>
        <v>0.36602055622301682</v>
      </c>
      <c r="E79" s="259">
        <f>E76-E77-E78</f>
        <v>513342</v>
      </c>
      <c r="F79" s="258">
        <f>E79/E74</f>
        <v>0.36602055622301682</v>
      </c>
      <c r="G79" s="260"/>
      <c r="H79" s="259">
        <f>H76-H77-H78</f>
        <v>513342</v>
      </c>
      <c r="I79" s="258">
        <f>H79/H74</f>
        <v>0.36602055622301682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238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120</v>
      </c>
      <c r="C83" s="163">
        <f>C79-C81-C82-C80</f>
        <v>513342</v>
      </c>
      <c r="D83" s="164">
        <f>C83/$C$74</f>
        <v>0.36602055622301682</v>
      </c>
      <c r="E83" s="165">
        <f>E79-E81-E82-E80</f>
        <v>513342</v>
      </c>
      <c r="F83" s="164">
        <f>E83/E74</f>
        <v>0.36602055622301682</v>
      </c>
      <c r="H83" s="165">
        <f>H79-H81-H82-H80</f>
        <v>513342</v>
      </c>
      <c r="I83" s="164">
        <f>H83/$H$74</f>
        <v>0.36602055622301682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156</v>
      </c>
      <c r="C85" s="257">
        <f>C83*(1-I84)</f>
        <v>385006.5</v>
      </c>
      <c r="D85" s="258">
        <f>C85/$C$74</f>
        <v>0.27451541716726263</v>
      </c>
      <c r="E85" s="264">
        <f>E83*(1-F84)</f>
        <v>385006.5</v>
      </c>
      <c r="F85" s="258">
        <f>E85/E74</f>
        <v>0.27451541716726263</v>
      </c>
      <c r="G85" s="260"/>
      <c r="H85" s="264">
        <f>H83*(1-I84)</f>
        <v>385006.5</v>
      </c>
      <c r="I85" s="258">
        <f>H85/$H$74</f>
        <v>0.27451541716726263</v>
      </c>
      <c r="K85" s="24"/>
    </row>
    <row r="86" spans="1:11" ht="15" customHeight="1" x14ac:dyDescent="0.4">
      <c r="B86" s="87" t="s">
        <v>152</v>
      </c>
      <c r="C86" s="167">
        <f>C85*Data!C4/Common_Shares</f>
        <v>1.5399583805137493</v>
      </c>
      <c r="D86" s="209"/>
      <c r="E86" s="168">
        <f>E85*Data!C4/Common_Shares</f>
        <v>1.5399583805137493</v>
      </c>
      <c r="F86" s="209"/>
      <c r="H86" s="168">
        <f>H85*Data!C4/Common_Shares</f>
        <v>1.5399583805137493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0.26215902992191148</v>
      </c>
      <c r="D87" s="209"/>
      <c r="E87" s="262">
        <f>E86*Exchange_Rate/Dashboard!G3</f>
        <v>0.26215902992191148</v>
      </c>
      <c r="F87" s="209"/>
      <c r="H87" s="262">
        <f>H86*Exchange_Rate/Dashboard!G3</f>
        <v>0.26215902992191148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0.59699999999999998</v>
      </c>
      <c r="D88" s="166">
        <f>C88/C86</f>
        <v>0.38767281476843118</v>
      </c>
      <c r="E88" s="170">
        <f>Inputs!E98</f>
        <v>0.4</v>
      </c>
      <c r="F88" s="166">
        <f>E88/E86</f>
        <v>0.2597472795768383</v>
      </c>
      <c r="H88" s="170">
        <f>Inputs!F98</f>
        <v>0.4</v>
      </c>
      <c r="I88" s="166">
        <f>H88/H86</f>
        <v>0.2597472795768383</v>
      </c>
      <c r="K88" s="24"/>
    </row>
    <row r="89" spans="1:11" ht="15" customHeight="1" x14ac:dyDescent="0.4">
      <c r="B89" s="87" t="s">
        <v>207</v>
      </c>
      <c r="C89" s="261">
        <f>C88*Exchange_Rate/Dashboard!G3</f>
        <v>0.10163192904678878</v>
      </c>
      <c r="D89" s="209"/>
      <c r="E89" s="261">
        <f>E88*Exchange_Rate/Dashboard!G3</f>
        <v>6.8095094838719464E-2</v>
      </c>
      <c r="F89" s="209"/>
      <c r="H89" s="261">
        <f>H88*Exchange_Rate/Dashboard!G3</f>
        <v>6.8095094838719464E-2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195</v>
      </c>
      <c r="F93" s="144">
        <f>FV(E87,D93,0,-(E86/(C93-D94)))*Exchange_Rate</f>
        <v>79.599250069983171</v>
      </c>
      <c r="H93" s="87" t="s">
        <v>195</v>
      </c>
      <c r="I93" s="144">
        <f>FV(H87,D93,0,-(H86/(C93-D94)))*Exchange_Rate</f>
        <v>79.599250069983171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8.9730315175900515</v>
      </c>
      <c r="H94" s="87" t="s">
        <v>196</v>
      </c>
      <c r="I94" s="144">
        <f>FV(H89,D93,0,-(H88/(C93-D94)))*Exchange_Rate</f>
        <v>8.9730315175900515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9894158.2533555124</v>
      </c>
      <c r="D97" s="213"/>
      <c r="E97" s="123">
        <f>PV(C94,D93,0,-F93)</f>
        <v>39.574895281986407</v>
      </c>
      <c r="F97" s="213"/>
      <c r="H97" s="123">
        <f>PV(C94,D93,0,-I93)</f>
        <v>39.574895281986407</v>
      </c>
      <c r="I97" s="123">
        <f>PV(C93,D93,0,-I93)</f>
        <v>52.633230750739244</v>
      </c>
      <c r="K97" s="24"/>
    </row>
    <row r="98" spans="2:11" ht="15" customHeight="1" x14ac:dyDescent="0.4">
      <c r="B98" s="28" t="s">
        <v>139</v>
      </c>
      <c r="C98" s="91" t="e">
        <f>-E53*Exchange_Rate</f>
        <v>#DIV/0!</v>
      </c>
      <c r="D98" s="213"/>
      <c r="E98" s="213"/>
      <c r="F98" s="213"/>
      <c r="H98" s="123" t="e">
        <f>C98*Data!$C$4/Common_Shares</f>
        <v>#DIV/0!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-29873741.510150719</v>
      </c>
      <c r="D99" s="214"/>
      <c r="E99" s="145">
        <f>IF(H99&gt;0,H99*(1-C94),H99*(1+C94))</f>
        <v>-137.41317714178015</v>
      </c>
      <c r="F99" s="214"/>
      <c r="H99" s="145">
        <f>C99*Data!$C$4/Common_Shares</f>
        <v>-119.48971925372187</v>
      </c>
      <c r="I99" s="216"/>
      <c r="K99" s="24"/>
    </row>
    <row r="100" spans="2:11" ht="15" customHeight="1" thickTop="1" x14ac:dyDescent="0.4">
      <c r="B100" s="1" t="s">
        <v>111</v>
      </c>
      <c r="C100" s="91" t="e">
        <f>C97+C98+$C$99</f>
        <v>#DIV/0!</v>
      </c>
      <c r="D100" s="109" t="e">
        <f>MIN(F100*(1-C94),E100)</f>
        <v>#DIV/0!</v>
      </c>
      <c r="E100" s="109" t="e">
        <f>MAX(E97+H98+E99,0)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MAX(I97+H98+H99,0)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1115344.6014796291</v>
      </c>
      <c r="D103" s="109">
        <f>MIN(F103*(1-C94),E103)</f>
        <v>3.7920051382974691</v>
      </c>
      <c r="E103" s="123">
        <f>PV(C94,D93,0,-F94)</f>
        <v>4.4611825156440812</v>
      </c>
      <c r="F103" s="109">
        <f>(E103+H103)/2</f>
        <v>4.4611825156440812</v>
      </c>
      <c r="H103" s="123">
        <f>PV(C94,D93,0,-I94)</f>
        <v>4.4611825156440812</v>
      </c>
      <c r="I103" s="109">
        <f>PV(C93,D93,0,-I94)</f>
        <v>5.9332171846311086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