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F7F433-74E4-4421-8717-DA8FF721E7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E92" i="4"/>
  <c r="F97" i="4"/>
  <c r="E95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<sst xmlns="http://schemas.openxmlformats.org/spreadsheetml/2006/main" count="389" uniqueCount="273">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</sst>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21481669957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269</v>
      </c>
      <c r="D18" s="24"/>
    </row>
    <row r="19" spans="2:13" ht="13.9" x14ac:dyDescent="0.4">
      <c r="B19" s="240" t="s">
        <v>225</v>
      </c>
      <c r="C19" s="242" t="s">
        <v>269</v>
      </c>
      <c r="D19" s="24"/>
    </row>
    <row r="20" spans="2:13" ht="13.9" x14ac:dyDescent="0.4">
      <c r="B20" s="241" t="s">
        <v>214</v>
      </c>
      <c r="C20" s="242" t="s">
        <v>269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6.4959718287588369E-2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172891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v>19344</v>
      </c>
      <c r="D52" s="60">
        <v>0.5</v>
      </c>
      <c r="E52" s="112"/>
    </row>
    <row r="53" spans="2:5" ht="13.9" x14ac:dyDescent="0.4">
      <c r="B53" s="1" t="s">
        <v>150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79740</v>
      </c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83483</v>
      </c>
    </row>
    <row r="83" spans="2:8" ht="14.25" thickTop="1" x14ac:dyDescent="0.4">
      <c r="B83" s="73" t="s">
        <v>206</v>
      </c>
      <c r="C83" s="59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271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102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230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238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229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106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161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193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0941.HK</v>
      </c>
      <c r="D3" s="290"/>
      <c r="E3" s="87"/>
      <c r="F3" s="3" t="s">
        <v>1</v>
      </c>
      <c r="G3" s="132">
        <v>74.849999999999994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中国移动</v>
      </c>
      <c r="D4" s="292"/>
      <c r="E4" s="87"/>
      <c r="F4" s="3" t="s">
        <v>2</v>
      </c>
      <c r="G4" s="295">
        <f>Inputs!C10</f>
        <v>21481669957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1607902.9962814499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0.13288365274327946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3.6955976811858409E-3</v>
      </c>
      <c r="F24" s="140" t="s">
        <v>240</v>
      </c>
      <c r="G24" s="268">
        <f>G3/(Fin_Analysis!H86*G7)</f>
        <v>24.425401190083679</v>
      </c>
    </row>
    <row r="25" spans="1:8" ht="15.75" customHeight="1" x14ac:dyDescent="0.4">
      <c r="B25" s="137" t="s">
        <v>258</v>
      </c>
      <c r="C25" s="171">
        <f>Fin_Analysis!I80</f>
        <v>2.2215198715160572E-2</v>
      </c>
      <c r="F25" s="140" t="s">
        <v>162</v>
      </c>
      <c r="G25" s="171">
        <f>Fin_Analysis!I88</f>
        <v>1.5866671803691612</v>
      </c>
    </row>
    <row r="26" spans="1:8" ht="15.75" customHeight="1" x14ac:dyDescent="0.4">
      <c r="B26" s="138" t="s">
        <v>259</v>
      </c>
      <c r="C26" s="171">
        <f>Fin_Analysis!I80+Fin_Analysis!I82</f>
        <v>4.784560526062881E-2</v>
      </c>
      <c r="F26" s="141" t="s">
        <v>179</v>
      </c>
      <c r="G26" s="178">
        <f>Fin_Analysis!H88*Exchange_Rate/G3</f>
        <v>6.4959718287588369E-2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42.485984283406474</v>
      </c>
      <c r="D29" s="129">
        <f>G29*(1+G20)</f>
        <v>76.447775594225675</v>
      </c>
      <c r="E29" s="87"/>
      <c r="F29" s="131">
        <f>IF(Fin_Analysis!C108="Profit",Fin_Analysis!F100,IF(Fin_Analysis!C108="Dividend",Fin_Analysis!F103,Fin_Analysis!F106))</f>
        <v>49.983510921654677</v>
      </c>
      <c r="G29" s="286">
        <f>IF(Fin_Analysis!C108="Profit",Fin_Analysis!I100,IF(Fin_Analysis!C108="Dividend",Fin_Analysis!I103,Fin_Analysis!I106))</f>
        <v>66.476326603674508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100939</v>
      </c>
      <c r="D28" s="199">
        <f>IF(Inputs!D35="","",Inputs!D35)</f>
        <v>68428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12616</v>
      </c>
      <c r="D29" s="199">
        <f>IF(Inputs!D36="","",Inputs!D36)</f>
        <v>12026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>
        <f>IF(Inputs!D37="","",Inputs!D37)</f>
        <v>558565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33448</v>
      </c>
      <c r="D31" s="199">
        <f>IF(Inputs!D39="","",Inputs!D39)</f>
        <v>35175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62222</v>
      </c>
      <c r="D32" s="199">
        <f>IF(Inputs!D40="","",Inputs!D40)</f>
        <v>67759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1345985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4253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795161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0.11138591111982202</v>
      </c>
      <c r="D38" s="155">
        <f>IF(D6="","",D14/MAX(D37,0))</f>
        <v>0.11620720955408788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0.8668930922046667</v>
      </c>
      <c r="D41" s="153">
        <f t="shared" si="35"/>
        <v>0.86225899137805029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2.2215198715160572E-2</v>
      </c>
      <c r="D42" s="153">
        <f t="shared" si="36"/>
        <v>2.4337989819249534E-2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3.6955976811858409E-3</v>
      </c>
      <c r="D43" s="153">
        <f t="shared" si="37"/>
        <v>2.4859723939700765E-3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2.2325505205376484E-4</v>
      </c>
      <c r="D44" s="153">
        <f t="shared" si="38"/>
        <v>1.9204936949125055E-4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2.5630406545468234E-2</v>
      </c>
      <c r="D45" s="153">
        <f t="shared" si="39"/>
        <v>1.1191143536631816E-2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8.1342449801464822E-2</v>
      </c>
      <c r="D46" s="153">
        <f t="shared" si="40"/>
        <v>9.9533853502607073E-2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>
        <f t="shared" si="41"/>
        <v>0.49211572287416977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0.10000802529255164</v>
      </c>
      <c r="D49" s="153">
        <f t="shared" si="42"/>
        <v>7.3008634753040522E-2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1.2499640843388893E-2</v>
      </c>
      <c r="D50" s="153">
        <f t="shared" si="43"/>
        <v>1.2831031763898772E-2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>
        <f t="shared" ref="C51:M51" si="44">IF(D6="","",C16/(C6-D6))</f>
        <v>0.31120055517002082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0.85815476812654601</v>
      </c>
      <c r="D54" s="157">
        <f t="shared" si="46"/>
        <v>0.90629918200011661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4.5432583973138346E-2</v>
      </c>
      <c r="D55" s="153">
        <f t="shared" si="47"/>
        <v>2.4976149385243705E-2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>
        <f t="shared" si="49"/>
        <v>9.6084016778313408E-2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>
        <f t="shared" si="50"/>
        <v>6.9528788163359001E-2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1379544</v>
      </c>
      <c r="K3" s="24"/>
    </row>
    <row r="4" spans="1:11" ht="15" customHeight="1" x14ac:dyDescent="0.4">
      <c r="B4" s="3" t="s">
        <v>23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112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150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92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161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218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106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120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152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4.0940985665610434E-2</v>
      </c>
      <c r="D87" s="209"/>
      <c r="E87" s="262">
        <f>E86*Exchange_Rate/Dashboard!G3</f>
        <v>4.0940985665610434E-2</v>
      </c>
      <c r="F87" s="209"/>
      <c r="H87" s="262">
        <f>H86*Exchange_Rate/Dashboard!G3</f>
        <v>4.0940985665610434E-2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207</v>
      </c>
      <c r="C89" s="261">
        <f>C88*Exchange_Rate/Dashboard!G3</f>
        <v>6.4959718287588369E-2</v>
      </c>
      <c r="D89" s="209"/>
      <c r="E89" s="261">
        <f>E88*Exchange_Rate/Dashboard!G3</f>
        <v>6.4959718287588369E-2</v>
      </c>
      <c r="F89" s="209"/>
      <c r="H89" s="261">
        <f>H88*Exchange_Rate/Dashboard!G3</f>
        <v>6.4959718287588369E-2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56.532053265073614</v>
      </c>
      <c r="H93" s="87" t="s">
        <v>195</v>
      </c>
      <c r="I93" s="144">
        <f>FV(H87,D93,0,-(H86/(C93-D94)))*Exchange_Rate</f>
        <v>56.532053265073614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100.53469394875485</v>
      </c>
      <c r="H94" s="87" t="s">
        <v>196</v>
      </c>
      <c r="I94" s="144">
        <f>FV(H89,D93,0,-(H88/(C93-D94)))*Exchange_Rate</f>
        <v>100.53469394875485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603772.87424581614</v>
      </c>
      <c r="D97" s="213"/>
      <c r="E97" s="123">
        <f>PV(C94,D93,0,-F93)</f>
        <v>28.106421682038327</v>
      </c>
      <c r="F97" s="213"/>
      <c r="H97" s="123">
        <f>PV(C94,D93,0,-I93)</f>
        <v>28.106421682038327</v>
      </c>
      <c r="I97" s="123">
        <f>PV(C93,D93,0,-I93)</f>
        <v>37.380560767817428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1073729.2849110907</v>
      </c>
      <c r="D103" s="109">
        <f>MIN(F103*(1-C94),E103)</f>
        <v>42.485984283406474</v>
      </c>
      <c r="E103" s="123">
        <f>PV(C94,D93,0,-F94)</f>
        <v>49.983510921654677</v>
      </c>
      <c r="F103" s="109">
        <f>(E103+H103)/2</f>
        <v>49.983510921654677</v>
      </c>
      <c r="H103" s="123">
        <f>PV(C94,D93,0,-I94)</f>
        <v>49.983510921654677</v>
      </c>
      <c r="I103" s="109">
        <f>PV(C93,D93,0,-I94)</f>
        <v>66.476326603674508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