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BD9402F-6BA8-4836-B865-8F96828F89F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<sst xmlns="http://schemas.openxmlformats.org/spreadsheetml/2006/main" count="389" uniqueCount="274">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</sst>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53487810534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241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269</v>
      </c>
      <c r="D18" s="24"/>
    </row>
    <row r="19" spans="2:13" ht="13.9" x14ac:dyDescent="0.4">
      <c r="B19" s="240" t="s">
        <v>225</v>
      </c>
      <c r="C19" s="242" t="s">
        <v>269</v>
      </c>
      <c r="D19" s="24"/>
    </row>
    <row r="20" spans="2:13" ht="13.9" x14ac:dyDescent="0.4">
      <c r="B20" s="241" t="s">
        <v>214</v>
      </c>
      <c r="C20" s="242" t="s">
        <v>269</v>
      </c>
      <c r="D20" s="24"/>
    </row>
    <row r="21" spans="2:13" ht="13.9" x14ac:dyDescent="0.4">
      <c r="B21" s="224" t="s">
        <v>217</v>
      </c>
      <c r="C21" s="242" t="s">
        <v>270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0.11054508072161963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102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230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238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229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193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0998.HK</v>
      </c>
      <c r="D3" s="290"/>
      <c r="E3" s="87"/>
      <c r="F3" s="3" t="s">
        <v>1</v>
      </c>
      <c r="G3" s="132">
        <v>4.9400000000000004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中信银行</v>
      </c>
      <c r="D4" s="292"/>
      <c r="E4" s="87"/>
      <c r="F4" s="3" t="s">
        <v>2</v>
      </c>
      <c r="G4" s="295">
        <f>Inputs!C10</f>
        <v>53487810534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264229.78403795999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0.61332352197640583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0.49099920776112166</v>
      </c>
      <c r="F24" s="140" t="s">
        <v>240</v>
      </c>
      <c r="G24" s="268">
        <f>G3/(Fin_Analysis!H86*G7)</f>
        <v>7.5952498803587236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0.53602049799902873</v>
      </c>
    </row>
    <row r="26" spans="1:8" ht="15.75" customHeight="1" x14ac:dyDescent="0.4">
      <c r="B26" s="138" t="s">
        <v>259</v>
      </c>
      <c r="C26" s="171">
        <f>Fin_Analysis!I80+Fin_Analysis!I82</f>
        <v>0</v>
      </c>
      <c r="F26" s="141" t="s">
        <v>179</v>
      </c>
      <c r="G26" s="178">
        <f>Fin_Analysis!H88*Exchange_Rate/G3</f>
        <v>7.0573122206969777E-2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3.127460264942644</v>
      </c>
      <c r="D29" s="129">
        <f>G29*(1+G20)</f>
        <v>5.6274412502565454</v>
      </c>
      <c r="E29" s="87"/>
      <c r="F29" s="131">
        <f>IF(Fin_Analysis!C108="Profit",Fin_Analysis!F100,IF(Fin_Analysis!C108="Dividend",Fin_Analysis!F103,Fin_Analysis!F106))</f>
        <v>3.6793650175795811</v>
      </c>
      <c r="G29" s="286">
        <f>IF(Fin_Analysis!C108="Profit",Fin_Analysis!I100,IF(Fin_Analysis!C108="Dividend",Fin_Analysis!I103,Fin_Analysis!I106))</f>
        <v>4.8934271741361268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0.18760554961924605</v>
      </c>
      <c r="D40" s="156">
        <f t="shared" si="34"/>
        <v>0.21236677381153782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0.19513886735214594</v>
      </c>
      <c r="D41" s="153">
        <f t="shared" si="35"/>
        <v>0.18845654993514915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0.49099920776112166</v>
      </c>
      <c r="D43" s="153">
        <f t="shared" si="37"/>
        <v>0.45948796030000566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3.9320610522022457E-3</v>
      </c>
      <c r="D44" s="153">
        <f t="shared" si="38"/>
        <v>3.1842703810221994E-3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0.12232431421528413</v>
      </c>
      <c r="D46" s="153">
        <f t="shared" si="40"/>
        <v>0.13650444557228517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4.0139134309552702</v>
      </c>
      <c r="D55" s="153">
        <f t="shared" si="47"/>
        <v>3.3661025351492042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102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92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161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218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152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0.13166123771463989</v>
      </c>
      <c r="D87" s="209"/>
      <c r="E87" s="262">
        <f>E86*Exchange_Rate/Dashboard!G3</f>
        <v>0.13166123771463989</v>
      </c>
      <c r="F87" s="209"/>
      <c r="H87" s="262">
        <f>H86*Exchange_Rate/Dashboard!G3</f>
        <v>0.13166123771463989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207</v>
      </c>
      <c r="C89" s="261">
        <f>C88*Exchange_Rate/Dashboard!G3</f>
        <v>0.11054508072161963</v>
      </c>
      <c r="D89" s="209"/>
      <c r="E89" s="261">
        <f>E88*Exchange_Rate/Dashboard!G3</f>
        <v>7.0573122206969777E-2</v>
      </c>
      <c r="F89" s="209"/>
      <c r="H89" s="261">
        <f>H88*Exchange_Rate/Dashboard!G3</f>
        <v>7.0573122206969777E-2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18.221377346670554</v>
      </c>
      <c r="H93" s="87" t="s">
        <v>195</v>
      </c>
      <c r="I93" s="144">
        <f>FV(H87,D93,0,-(H86/(C93-D94)))*Exchange_Rate</f>
        <v>18.221377346670554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7.400517273544752</v>
      </c>
      <c r="H94" s="87" t="s">
        <v>196</v>
      </c>
      <c r="I94" s="144">
        <f>FV(H89,D93,0,-(H88/(C93-D94)))*Exchange_Rate</f>
        <v>7.400517273544752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484559.17489157279</v>
      </c>
      <c r="D97" s="213"/>
      <c r="E97" s="123">
        <f>PV(C94,D93,0,-F93)</f>
        <v>9.059244901855882</v>
      </c>
      <c r="F97" s="213"/>
      <c r="H97" s="123">
        <f>PV(C94,D93,0,-I93)</f>
        <v>9.059244901855882</v>
      </c>
      <c r="I97" s="123">
        <f>PV(C93,D93,0,-I93)</f>
        <v>12.048479824124138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484559.17489157279</v>
      </c>
      <c r="D100" s="109">
        <f>MIN(F100*(1-C94),E100)</f>
        <v>7.7003581665774998</v>
      </c>
      <c r="E100" s="109">
        <f>MAX(E97+H98+E99,0)</f>
        <v>9.059244901855882</v>
      </c>
      <c r="F100" s="109">
        <f>(E100+H100)/2</f>
        <v>9.059244901855882</v>
      </c>
      <c r="H100" s="109">
        <f>MAX(C100*Data!$C$4/Common_Shares,0)</f>
        <v>9.059244901855882</v>
      </c>
      <c r="I100" s="109">
        <f>MAX(I97+H98+H99,0)</f>
        <v>12.048479824124138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196801.17894572421</v>
      </c>
      <c r="D103" s="109">
        <f>MIN(F103*(1-C94),E103)</f>
        <v>3.127460264942644</v>
      </c>
      <c r="E103" s="123">
        <f>PV(C94,D93,0,-F94)</f>
        <v>3.6793650175795811</v>
      </c>
      <c r="F103" s="109">
        <f>(E103+H103)/2</f>
        <v>3.6793650175795811</v>
      </c>
      <c r="H103" s="123">
        <f>PV(C94,D93,0,-I94)</f>
        <v>3.6793650175795811</v>
      </c>
      <c r="I103" s="109">
        <f>PV(C93,D93,0,-I94)</f>
        <v>4.8934271741361268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340680.17691864853</v>
      </c>
      <c r="D106" s="109">
        <f>(D100+D103)/2</f>
        <v>5.4139092157600714</v>
      </c>
      <c r="E106" s="123">
        <f>(E100+E103)/2</f>
        <v>6.3693049597177316</v>
      </c>
      <c r="F106" s="109">
        <f>(F100+F103)/2</f>
        <v>6.3693049597177316</v>
      </c>
      <c r="H106" s="123">
        <f>(H100+H103)/2</f>
        <v>6.3693049597177316</v>
      </c>
      <c r="I106" s="123">
        <f>(I100+I103)/2</f>
        <v>8.4709534991301325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