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5246E0A-7EBF-45BE-B355-57BA735A769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7" i="4"/>
  <c r="F95" i="4"/>
  <c r="E95" i="4"/>
  <c r="F94" i="4"/>
  <c r="F93" i="4"/>
  <c r="F91" i="4"/>
  <c r="F92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6" i="4" s="1"/>
  <c r="F44" i="4"/>
  <c r="E44" i="4"/>
  <c r="D44" i="4"/>
  <c r="C44" i="4"/>
  <c r="D33" i="4"/>
  <c r="C33" i="4"/>
  <c r="D32" i="4"/>
  <c r="C32" i="4"/>
  <c r="D31" i="4"/>
  <c r="C31" i="4"/>
  <c r="C34" i="2"/>
  <c r="C35" i="2"/>
  <c r="C30" i="2"/>
  <c r="E34" i="2"/>
  <c r="E27" i="2" s="1"/>
  <c r="F34" i="2"/>
  <c r="F27" i="2" s="1"/>
  <c r="G34" i="2"/>
  <c r="G27" i="2" s="1"/>
  <c r="H34" i="2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H27" i="2"/>
  <c r="J27" i="2"/>
  <c r="B41" i="4"/>
  <c r="B37" i="4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E92" i="4"/>
  <c r="D53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C58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C59" i="2" s="1"/>
  <c r="F3" i="2"/>
  <c r="H22" i="2"/>
  <c r="H59" i="2" s="1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7" i="2" l="1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D4" i="3"/>
  <c r="J28" i="3"/>
  <c r="C53" i="3" l="1"/>
  <c r="C53" i="2"/>
  <c r="C21" i="1" s="1"/>
  <c r="E99" i="3"/>
  <c r="G23" i="1"/>
  <c r="C48" i="2"/>
  <c r="E53" i="3" l="1"/>
  <c r="D6" i="3" s="1"/>
  <c r="C22" i="1"/>
  <c r="C20" i="1" s="1"/>
  <c r="C57" i="2"/>
  <c r="C98" i="3" l="1"/>
  <c r="H98" i="3" s="1"/>
  <c r="D95" i="4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<sst xmlns="http://schemas.openxmlformats.org/spreadsheetml/2006/main" count="389" uniqueCount="273">
  <si>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</si>
  <si>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</si>
  <si>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</si>
  <si>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</si>
  <si>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</si>
  <si>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</si>
  <si>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</si>
  <si>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</si>
  <si>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</si>
  <si>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</si>
  <si>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</si>
  <si>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</si>
  <si>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</si>
  <si>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</si>
  <si>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</si>
  <si>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</si>
  <si>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</si>
  <si>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</si>
  <si>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</si>
  <si>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</si>
  <si>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</si>
  <si>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</si>
  <si>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</si>
  <si>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</si>
  <si>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</si>
  <si>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</si>
  <si>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</si>
  <si>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</si>
  <si>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</si>
  <si>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</si>
  <si>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</si>
  <si>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</si>
  <si>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</si>
  <si>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</si>
  <si>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</si>
  <si>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</si>
  <si>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</si>
  <si>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</si>
  <si>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</si>
  <si>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</si>
  <si>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</si>
  <si>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</si>
  <si>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</si>
  <si>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</si>
  <si>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</si>
  <si>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</si>
  <si>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</si>
  <si>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</si>
  <si>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</si>
  <si>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</si>
  <si>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</si>
  <si>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</si>
  <si>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</si>
  <si>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</si>
  <si>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</si>
  <si>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</si>
  <si>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</si>
  <si>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</si>
  <si>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</si>
  <si>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</si>
  <si>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</si>
  <si>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</si>
  <si>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</si>
  <si>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</si>
  <si>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</si>
  <si>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</si>
  <si>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</si>
  <si>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</si>
  <si>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</si>
  <si>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</si>
  <si>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</si>
  <si>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</si>
  <si>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</si>
  <si>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</si>
  <si>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</si>
  <si>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</si>
  <si>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</si>
  <si>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</si>
  <si>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</si>
  <si>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</si>
  <si>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</si>
  <si>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</si>
  <si>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</si>
  <si>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</si>
  <si>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</si>
  <si>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</si>
  <si>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</si>
  <si>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</si>
  <si>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</si>
  <si>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</si>
  <si>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</si>
  <si>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</si>
  <si>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</si>
  <si>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</si>
  <si>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</si>
  <si>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</si>
  <si>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</si>
  <si>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</si>
  <si>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</si>
  <si>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</si>
  <si>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</si>
  <si>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</si>
  <si>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</si>
  <si>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</si>
  <si>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</si>
  <si>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</si>
  <si>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</si>
  <si>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</si>
  <si>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</si>
  <si>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</si>
  <si>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</si>
  <si>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</si>
  <si>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</si>
  <si>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</si>
  <si>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</si>
  <si>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</si>
  <si>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</si>
  <si>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</si>
  <si>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</si>
  <si>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</si>
  <si>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</si>
  <si>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</si>
  <si>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</si>
  <si>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</si>
  <si>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</si>
  <si>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</si>
  <si>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</si>
  <si>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</si>
  <si>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</si>
  <si>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</si>
  <si>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</si>
  <si>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</si>
  <si>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</si>
  <si>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</si>
  <si>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</si>
  <si>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</si>
  <si>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</si>
  <si>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</si>
  <si>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</si>
  <si>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</si>
  <si>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</si>
  <si>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</si>
  <si>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</si>
  <si>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</si>
  <si>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</si>
  <si>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</si>
  <si>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</si>
  <si>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</si>
  <si>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</si>
  <si>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</si>
  <si>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</si>
  <si>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</si>
  <si>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</si>
  <si>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</si>
  <si>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</si>
  <si>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</si>
  <si>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</si>
  <si>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</si>
  <si>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</si>
  <si>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</si>
  <si>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</si>
  <si>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</si>
  <si>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</si>
  <si>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</si>
  <si>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</si>
  <si>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</si>
  <si>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</si>
  <si>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</si>
  <si>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</si>
  <si>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</si>
  <si>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</si>
  <si>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</si>
  <si>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</si>
  <si>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</si>
  <si>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</si>
  <si>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</si>
  <si>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</si>
  <si>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</si>
  <si>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</si>
  <si>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</si>
  <si>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</si>
  <si>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</si>
  <si>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</si>
  <si>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</si>
  <si>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</si>
  <si>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</si>
  <si>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</si>
  <si>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</si>
  <si>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</si>
  <si>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</si>
  <si>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</si>
  <si>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</si>
  <si>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</si>
  <si>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</si>
  <si>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</si>
  <si>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</si>
  <si>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</si>
  <si>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</si>
  <si>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</si>
  <si>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</si>
  <si>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</si>
  <si>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</si>
  <si>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</si>
  <si>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</si>
  <si>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</si>
  <si>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</si>
  <si>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</si>
  <si>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</si>
  <si>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</si>
  <si>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</si>
  <si>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</si>
  <si>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</si>
  <si>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</si>
  <si>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</si>
  <si>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</si>
  <si>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</si>
  <si>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</si>
  <si>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</si>
  <si>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</si>
  <si>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</si>
  <si>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</si>
  <si>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</si>
  <si>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</si>
  <si>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</si>
  <si>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</si>
  <si>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</si>
  <si>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</si>
  <si>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</si>
  <si>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</si>
  <si>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</si>
  <si>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</si>
  <si>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</si>
  <si>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</si>
  <si>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</si>
  <si>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</si>
  <si>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</si>
  <si>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</si>
  <si>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</si>
  <si>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</si>
  <si>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</si>
  <si>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</si>
  <si>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</si>
  <si>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</si>
  <si>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</si>
  <si>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</si>
  <si>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</si>
  <si>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</si>
  <si>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</si>
  <si>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</si>
  <si>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</si>
  <si>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</si>
  <si>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</si>
  <si>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</si>
  <si>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</si>
  <si>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</si>
  <si>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</si>
  <si>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</si>
  <si>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</si>
  <si>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</si>
  <si>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</si>
  <si>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</si>
  <si>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</si>
  <si>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</si>
  <si>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</si>
  <si>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</si>
  <si>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</si>
  <si>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</si>
  <si>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1044.HK</t>
  </si>
  <si>
    <t>恒安國際</t>
  </si>
  <si>
    <t>Tier 3</t>
  </si>
  <si>
    <t>C0007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</si>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</sst>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1" t="s">
        <v>180</v>
      </c>
      <c r="C4" s="188" t="s">
        <v>267</v>
      </c>
    </row>
    <row r="5" spans="1:5" ht="13.9" x14ac:dyDescent="0.4">
      <c r="B5" s="141" t="s">
        <v>181</v>
      </c>
      <c r="C5" s="191" t="s">
        <v>268</v>
      </c>
    </row>
    <row r="6" spans="1:5" ht="13.9" x14ac:dyDescent="0.4">
      <c r="B6" s="141" t="s">
        <v>155</v>
      </c>
      <c r="C6" s="189">
        <v>45637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201</v>
      </c>
      <c r="C8" s="191" t="s">
        <v>269</v>
      </c>
      <c r="E8" s="267"/>
    </row>
    <row r="9" spans="1:5" ht="13.9" x14ac:dyDescent="0.4">
      <c r="B9" s="140" t="s">
        <v>202</v>
      </c>
      <c r="C9" s="192" t="s">
        <v>270</v>
      </c>
    </row>
    <row r="10" spans="1:5" ht="13.9" x14ac:dyDescent="0.4">
      <c r="B10" s="140" t="s">
        <v>203</v>
      </c>
      <c r="C10" s="193">
        <v>1162120917</v>
      </c>
    </row>
    <row r="11" spans="1:5" ht="13.9" x14ac:dyDescent="0.4">
      <c r="B11" s="140" t="s">
        <v>204</v>
      </c>
      <c r="C11" s="192" t="s">
        <v>271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205</v>
      </c>
      <c r="C14" s="219">
        <v>45473</v>
      </c>
    </row>
    <row r="15" spans="1:5" ht="13.9" x14ac:dyDescent="0.4">
      <c r="B15" s="218" t="s">
        <v>239</v>
      </c>
      <c r="C15" s="176" t="s">
        <v>244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210</v>
      </c>
      <c r="C17" s="242" t="s">
        <v>229</v>
      </c>
      <c r="D17" s="24"/>
    </row>
    <row r="18" spans="2:13" ht="13.9" x14ac:dyDescent="0.4">
      <c r="B18" s="240" t="s">
        <v>224</v>
      </c>
      <c r="C18" s="242" t="s">
        <v>229</v>
      </c>
      <c r="D18" s="24"/>
    </row>
    <row r="19" spans="2:13" ht="13.9" x14ac:dyDescent="0.4">
      <c r="B19" s="240" t="s">
        <v>225</v>
      </c>
      <c r="C19" s="242" t="s">
        <v>229</v>
      </c>
      <c r="D19" s="24"/>
    </row>
    <row r="20" spans="2:13" ht="13.9" x14ac:dyDescent="0.4">
      <c r="B20" s="241" t="s">
        <v>214</v>
      </c>
      <c r="C20" s="242" t="s">
        <v>229</v>
      </c>
      <c r="D20" s="24"/>
    </row>
    <row r="21" spans="2:13" ht="13.9" x14ac:dyDescent="0.4">
      <c r="B21" s="224" t="s">
        <v>217</v>
      </c>
      <c r="C21" s="242" t="s">
        <v>229</v>
      </c>
      <c r="D21" s="24"/>
    </row>
    <row r="22" spans="2:13" ht="78.75" x14ac:dyDescent="0.4">
      <c r="B22" s="226" t="s">
        <v>216</v>
      </c>
      <c r="C22" s="243" t="s">
        <v>242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23767936</v>
      </c>
      <c r="D25" s="149">
        <v>22615878</v>
      </c>
      <c r="E25" s="149">
        <v>20790144</v>
      </c>
      <c r="F25" s="149">
        <v>22374001</v>
      </c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15757248</v>
      </c>
      <c r="D26" s="150">
        <v>14926379</v>
      </c>
      <c r="E26" s="150">
        <v>13017826</v>
      </c>
      <c r="F26" s="150">
        <v>12918146</v>
      </c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5068887</v>
      </c>
      <c r="D27" s="150">
        <v>4888813</v>
      </c>
      <c r="E27" s="150">
        <v>4526293</v>
      </c>
      <c r="F27" s="150">
        <v>4832922</v>
      </c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240</v>
      </c>
      <c r="C29" s="150">
        <v>646577</v>
      </c>
      <c r="D29" s="150">
        <v>468159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6871</v>
      </c>
      <c r="D30" s="150">
        <v>24051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>
        <f>4126200-4644583</f>
        <v>-518383</v>
      </c>
      <c r="D31" s="150">
        <f>3352219-4803030</f>
        <v>-1450811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>
        <f>808830+5967+54201+30822</f>
        <v>899820</v>
      </c>
      <c r="D32" s="150">
        <f>793670+53694+6219+33410</f>
        <v>886993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>
        <f>1469761+50745</f>
        <v>1520506</v>
      </c>
      <c r="D33" s="150">
        <f>1121618+123039</f>
        <v>1244657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hidden="1" x14ac:dyDescent="0.4">
      <c r="B34" s="97" t="s">
        <v>266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112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141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tr">
        <f>"Total Liabilities"&amp;IF(C77+C82=0,"",IF(C37=C77+C82,""," Error"))</f>
        <v>Total Liabilities</v>
      </c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hidden="1" x14ac:dyDescent="0.4">
      <c r="B38" s="94" t="s">
        <v>265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tr">
        <f>"Total Equity"&amp;IF(C83="","",IF(C41=Fin_Analysis!D3,""," Error"))</f>
        <v>Total Equity</v>
      </c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133</v>
      </c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131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193</v>
      </c>
      <c r="C44" s="250">
        <f>0.7+0.7</f>
        <v>1.4</v>
      </c>
      <c r="D44" s="250">
        <f>0.7+0.7</f>
        <v>1.4</v>
      </c>
      <c r="E44" s="250">
        <f>0.7+0.7</f>
        <v>1.4</v>
      </c>
      <c r="F44" s="250">
        <f>1.3+1.2</f>
        <v>2.5</v>
      </c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236</v>
      </c>
      <c r="C45" s="152">
        <f>IF(C44="","",C44*Exchange_Rate/Dashboard!$G$3)</f>
        <v>6.7725347717423237E-2</v>
      </c>
      <c r="D45" s="152">
        <f>IF(D44="","",D44*Exchange_Rate/Dashboard!$G$3)</f>
        <v>6.7725347717423237E-2</v>
      </c>
      <c r="E45" s="152">
        <f>IF(E44="","",E44*Exchange_Rate/Dashboard!$G$3)</f>
        <v>6.7725347717423237E-2</v>
      </c>
      <c r="F45" s="152">
        <f>IF(F44="","",F44*Exchange_Rate/Dashboard!$G$3)</f>
        <v>0.12093812092397008</v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233</v>
      </c>
      <c r="C47" s="194" t="s">
        <v>30</v>
      </c>
      <c r="D47" s="194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246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115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245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206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234</v>
      </c>
      <c r="C86" s="197">
        <v>5</v>
      </c>
    </row>
    <row r="87" spans="2:8" ht="13.9" x14ac:dyDescent="0.4">
      <c r="B87" s="10" t="s">
        <v>232</v>
      </c>
      <c r="C87" s="236" t="s">
        <v>235</v>
      </c>
      <c r="D87" s="269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121</v>
      </c>
      <c r="C91" s="77">
        <f>C25</f>
        <v>23767936</v>
      </c>
      <c r="D91" s="209"/>
      <c r="E91" s="251">
        <f>C91</f>
        <v>23767936</v>
      </c>
      <c r="F91" s="251">
        <f>C91</f>
        <v>23767936</v>
      </c>
    </row>
    <row r="92" spans="2:8" ht="13.9" x14ac:dyDescent="0.4">
      <c r="B92" s="104" t="s">
        <v>102</v>
      </c>
      <c r="C92" s="77">
        <f>C26</f>
        <v>15757248</v>
      </c>
      <c r="D92" s="159">
        <f>C92/C91</f>
        <v>0.66296240447635002</v>
      </c>
      <c r="E92" s="252">
        <f>E91*D92</f>
        <v>15757248</v>
      </c>
      <c r="F92" s="252">
        <f>F91*D92</f>
        <v>15757248</v>
      </c>
    </row>
    <row r="93" spans="2:8" ht="13.9" x14ac:dyDescent="0.4">
      <c r="B93" s="104" t="s">
        <v>231</v>
      </c>
      <c r="C93" s="77">
        <f>C27+C28</f>
        <v>5068887</v>
      </c>
      <c r="D93" s="159">
        <f>C93/C91</f>
        <v>0.21326576274860384</v>
      </c>
      <c r="E93" s="252">
        <f>E91*D93</f>
        <v>5068887</v>
      </c>
      <c r="F93" s="252">
        <f>F91*D93</f>
        <v>5068887</v>
      </c>
    </row>
    <row r="94" spans="2:8" ht="13.9" x14ac:dyDescent="0.4">
      <c r="B94" s="104" t="s">
        <v>240</v>
      </c>
      <c r="C94" s="77">
        <f>C29</f>
        <v>646577</v>
      </c>
      <c r="D94" s="159">
        <f>C94/C91</f>
        <v>2.7203750464491323E-2</v>
      </c>
      <c r="E94" s="253"/>
      <c r="F94" s="252">
        <f>F91*D94</f>
        <v>646577</v>
      </c>
    </row>
    <row r="95" spans="2:8" ht="13.9" x14ac:dyDescent="0.4">
      <c r="B95" s="28" t="s">
        <v>230</v>
      </c>
      <c r="C95" s="77">
        <f>ABS(MAX(C33,0)-C32)</f>
        <v>620686</v>
      </c>
      <c r="D95" s="159">
        <f>C95/C91</f>
        <v>2.6114425754091564E-2</v>
      </c>
      <c r="E95" s="252">
        <f>E91*2%</f>
        <v>475358.72000000003</v>
      </c>
      <c r="F95" s="252">
        <f>F91*1%</f>
        <v>237679.36000000002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161</v>
      </c>
      <c r="C97" s="77">
        <f>MAX(C30,0)/(1-C16)</f>
        <v>9161.3333333333339</v>
      </c>
      <c r="D97" s="159">
        <f>C97/C91</f>
        <v>3.8544925959634583E-4</v>
      </c>
      <c r="E97" s="253"/>
      <c r="F97" s="252">
        <f>F91*D97</f>
        <v>9161.3333333333339</v>
      </c>
    </row>
    <row r="98" spans="2:7" ht="13.9" x14ac:dyDescent="0.4">
      <c r="B98" s="86" t="s">
        <v>193</v>
      </c>
      <c r="C98" s="237">
        <f>C44</f>
        <v>1.4</v>
      </c>
      <c r="D98" s="266"/>
      <c r="E98" s="254">
        <f>F98</f>
        <v>1.4</v>
      </c>
      <c r="F98" s="254">
        <f>C98</f>
        <v>1.4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11" sqref="D11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1044.HK : 恒安國際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1044.HK</v>
      </c>
      <c r="D3" s="290"/>
      <c r="E3" s="87"/>
      <c r="F3" s="3" t="s">
        <v>1</v>
      </c>
      <c r="G3" s="132">
        <v>22.1</v>
      </c>
      <c r="H3" s="134" t="s">
        <v>272</v>
      </c>
    </row>
    <row r="4" spans="1:10" ht="15.75" customHeight="1" x14ac:dyDescent="0.4">
      <c r="B4" s="35" t="s">
        <v>181</v>
      </c>
      <c r="C4" s="291" t="str">
        <f>Inputs!C5</f>
        <v>恒安國際</v>
      </c>
      <c r="D4" s="292"/>
      <c r="E4" s="87"/>
      <c r="F4" s="3" t="s">
        <v>2</v>
      </c>
      <c r="G4" s="295">
        <f>Inputs!C10</f>
        <v>1162120917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45637</v>
      </c>
      <c r="D5" s="294"/>
      <c r="E5" s="34"/>
      <c r="F5" s="35" t="s">
        <v>96</v>
      </c>
      <c r="G5" s="287">
        <f>G3*G4/1000000</f>
        <v>25682.8722657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7" t="str">
        <f>Inputs!C8</f>
        <v>Tier 3</v>
      </c>
      <c r="D7" s="187" t="str">
        <f>Inputs!C9</f>
        <v>C0007</v>
      </c>
      <c r="E7" s="87"/>
      <c r="F7" s="35" t="s">
        <v>5</v>
      </c>
      <c r="G7" s="133">
        <v>1.0690929889678955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177</v>
      </c>
      <c r="F9" s="143" t="s">
        <v>172</v>
      </c>
    </row>
    <row r="10" spans="1:10" ht="15.75" customHeight="1" x14ac:dyDescent="0.4">
      <c r="B10" s="1" t="s">
        <v>163</v>
      </c>
      <c r="C10" s="172">
        <v>4.2000000000000003E-2</v>
      </c>
      <c r="F10" s="110" t="s">
        <v>170</v>
      </c>
    </row>
    <row r="11" spans="1:10" ht="15.75" customHeight="1" thickBot="1" x14ac:dyDescent="0.45">
      <c r="B11" s="122" t="s">
        <v>167</v>
      </c>
      <c r="C11" s="173">
        <v>5.2299999999999999E-2</v>
      </c>
      <c r="D11" s="137" t="s">
        <v>176</v>
      </c>
      <c r="F11" s="110" t="s">
        <v>165</v>
      </c>
    </row>
    <row r="12" spans="1:10" ht="15.75" customHeight="1" thickTop="1" x14ac:dyDescent="0.4">
      <c r="B12" s="87" t="s">
        <v>237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2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2">
        <v>6.5000000000000002E-2</v>
      </c>
      <c r="F15" s="110" t="s">
        <v>168</v>
      </c>
    </row>
    <row r="16" spans="1:10" ht="15.75" customHeight="1" thickBot="1" x14ac:dyDescent="0.45">
      <c r="B16" s="122" t="s">
        <v>174</v>
      </c>
      <c r="C16" s="173">
        <v>0.16</v>
      </c>
      <c r="D16" s="265" t="str">
        <f>Inputs!C15</f>
        <v>CN</v>
      </c>
      <c r="F16" s="110" t="s">
        <v>166</v>
      </c>
    </row>
    <row r="17" spans="1:8" ht="15.75" customHeight="1" thickTop="1" x14ac:dyDescent="0.4">
      <c r="B17" s="87" t="s">
        <v>238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263</v>
      </c>
      <c r="C19" s="135" t="s">
        <v>48</v>
      </c>
      <c r="D19" s="87"/>
      <c r="E19" s="87"/>
      <c r="F19" s="142" t="s">
        <v>198</v>
      </c>
      <c r="G19" s="87"/>
      <c r="H19" s="87"/>
    </row>
    <row r="20" spans="1:8" ht="15.75" customHeight="1" thickBot="1" x14ac:dyDescent="0.45">
      <c r="B20" s="275" t="s">
        <v>253</v>
      </c>
      <c r="C20" s="276" t="e">
        <f>C23*C22*(1/C21)</f>
        <v>#DIV/0!</v>
      </c>
      <c r="F20" s="87" t="s">
        <v>197</v>
      </c>
      <c r="G20" s="172">
        <v>0.15</v>
      </c>
    </row>
    <row r="21" spans="1:8" ht="15.75" customHeight="1" thickTop="1" x14ac:dyDescent="0.4">
      <c r="B21" s="277" t="s">
        <v>251</v>
      </c>
      <c r="C21" s="278" t="e">
        <f>Data!C53</f>
        <v>#DIV/0!</v>
      </c>
      <c r="F21" s="87"/>
      <c r="G21" s="29"/>
    </row>
    <row r="22" spans="1:8" ht="15.75" customHeight="1" x14ac:dyDescent="0.4">
      <c r="B22" s="279" t="s">
        <v>258</v>
      </c>
      <c r="C22" s="280" t="e">
        <f>Data!C48</f>
        <v>#DIV/0!</v>
      </c>
      <c r="F22" s="142" t="s">
        <v>171</v>
      </c>
    </row>
    <row r="23" spans="1:8" ht="15.75" customHeight="1" thickBot="1" x14ac:dyDescent="0.45">
      <c r="B23" s="281" t="s">
        <v>259</v>
      </c>
      <c r="C23" s="282">
        <f>Data!C13</f>
        <v>0.12338638351544982</v>
      </c>
      <c r="F23" s="140" t="s">
        <v>175</v>
      </c>
      <c r="G23" s="177" t="e">
        <f>G3/(Data!C34*Data!C4/Common_Shares*Exchange_Rate)</f>
        <v>#DIV/0!</v>
      </c>
    </row>
    <row r="24" spans="1:8" ht="15.75" customHeight="1" x14ac:dyDescent="0.4">
      <c r="B24" s="137" t="s">
        <v>260</v>
      </c>
      <c r="C24" s="171">
        <f>Fin_Analysis!I81</f>
        <v>2.7203750464491323E-2</v>
      </c>
      <c r="F24" s="140" t="s">
        <v>243</v>
      </c>
      <c r="G24" s="268">
        <f>G3/(Fin_Analysis!H86*G7)</f>
        <v>15.637078595730568</v>
      </c>
    </row>
    <row r="25" spans="1:8" ht="15.75" customHeight="1" x14ac:dyDescent="0.4">
      <c r="B25" s="137" t="s">
        <v>261</v>
      </c>
      <c r="C25" s="171">
        <f>Fin_Analysis!I80</f>
        <v>0</v>
      </c>
      <c r="F25" s="140" t="s">
        <v>162</v>
      </c>
      <c r="G25" s="171">
        <f>Fin_Analysis!I88</f>
        <v>1.0590265851805289</v>
      </c>
    </row>
    <row r="26" spans="1:8" ht="15.75" customHeight="1" x14ac:dyDescent="0.4">
      <c r="B26" s="138" t="s">
        <v>262</v>
      </c>
      <c r="C26" s="171">
        <f>Fin_Analysis!I80+Fin_Analysis!I82</f>
        <v>0.01</v>
      </c>
      <c r="F26" s="141" t="s">
        <v>179</v>
      </c>
      <c r="G26" s="178">
        <f>Fin_Analysis!H88*Exchange_Rate/G3</f>
        <v>6.7725347717423237E-2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223</v>
      </c>
      <c r="G28" s="285" t="s">
        <v>241</v>
      </c>
      <c r="H28" s="285"/>
    </row>
    <row r="29" spans="1:8" ht="15.75" customHeight="1" x14ac:dyDescent="0.4">
      <c r="B29" s="87" t="s">
        <v>160</v>
      </c>
      <c r="C29" s="130">
        <f>IF(Fin_Analysis!C108="Profit",Fin_Analysis!D100,IF(Fin_Analysis!C108="Dividend",Fin_Analysis!D103,Fin_Analysis!D106))</f>
        <v>11.391121282160789</v>
      </c>
      <c r="D29" s="129">
        <f>G29*(1+G20)</f>
        <v>22.11601680719496</v>
      </c>
      <c r="E29" s="87"/>
      <c r="F29" s="131">
        <f>IF(Fin_Analysis!C108="Profit",Fin_Analysis!F100,IF(Fin_Analysis!C108="Dividend",Fin_Analysis!F103,Fin_Analysis!F106))</f>
        <v>13.401319155483282</v>
      </c>
      <c r="G29" s="286">
        <f>IF(Fin_Analysis!C108="Profit",Fin_Analysis!I100,IF(Fin_Analysis!C108="Dividend",Fin_Analysis!I103,Fin_Analysis!I106))</f>
        <v>19.231318962778229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6" t="s">
        <v>209</v>
      </c>
      <c r="C32" s="224"/>
    </row>
    <row r="33" spans="1:3" ht="15.75" customHeight="1" x14ac:dyDescent="0.4">
      <c r="A33"/>
      <c r="B33" s="20" t="s">
        <v>210</v>
      </c>
      <c r="C33" s="245" t="str">
        <f>Inputs!C17</f>
        <v>unclear</v>
      </c>
    </row>
    <row r="34" spans="1:3" ht="15.75" customHeight="1" x14ac:dyDescent="0.4">
      <c r="A34"/>
      <c r="B34" s="19" t="s">
        <v>211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212</v>
      </c>
      <c r="C35" s="224"/>
    </row>
    <row r="36" spans="1:3" ht="15.75" customHeight="1" x14ac:dyDescent="0.4">
      <c r="A36"/>
      <c r="B36" s="20" t="s">
        <v>224</v>
      </c>
      <c r="C36" s="245" t="str">
        <f>Inputs!C18</f>
        <v>unclear</v>
      </c>
    </row>
    <row r="37" spans="1:3" ht="15.75" customHeight="1" x14ac:dyDescent="0.4">
      <c r="A37"/>
      <c r="B37" s="20" t="s">
        <v>225</v>
      </c>
      <c r="C37" s="245" t="str">
        <f>Inputs!C19</f>
        <v>unclear</v>
      </c>
    </row>
    <row r="38" spans="1:3" ht="15.75" customHeight="1" x14ac:dyDescent="0.4">
      <c r="A38"/>
      <c r="B38" s="196" t="s">
        <v>213</v>
      </c>
      <c r="C38" s="224"/>
    </row>
    <row r="39" spans="1:3" ht="15.75" customHeight="1" x14ac:dyDescent="0.4">
      <c r="A39"/>
      <c r="B39" s="19" t="s">
        <v>214</v>
      </c>
      <c r="C39" s="245" t="str">
        <f>Inputs!C20</f>
        <v>unclear</v>
      </c>
    </row>
    <row r="40" spans="1:3" ht="15.75" customHeight="1" x14ac:dyDescent="0.4">
      <c r="A40"/>
      <c r="B40" s="1" t="s">
        <v>217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6" t="s">
        <v>216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24" zoomScaleNormal="100" workbookViewId="0">
      <pane xSplit="2" topLeftCell="C1" activePane="topRight" state="frozen"/>
      <selection activeCell="A4" sqref="A4"/>
      <selection pane="topRight" activeCell="D36" sqref="D3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185</v>
      </c>
      <c r="F2" s="119" t="s">
        <v>188</v>
      </c>
      <c r="G2" s="148" t="s">
        <v>189</v>
      </c>
      <c r="H2" s="147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186</v>
      </c>
      <c r="F3" s="85" t="str">
        <f>H14</f>
        <v/>
      </c>
      <c r="G3" s="85">
        <f>C14</f>
        <v>2932639.6666666665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23767936</v>
      </c>
      <c r="D6" s="200">
        <f>IF(Inputs!D25="","",Inputs!D25)</f>
        <v>22615878</v>
      </c>
      <c r="E6" s="200">
        <f>IF(Inputs!E25="","",Inputs!E25)</f>
        <v>20790144</v>
      </c>
      <c r="F6" s="200">
        <f>IF(Inputs!F25="","",Inputs!F25)</f>
        <v>22374001</v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5.0940228807389243E-2</v>
      </c>
      <c r="D7" s="92">
        <f t="shared" si="1"/>
        <v>8.7817284959642361E-2</v>
      </c>
      <c r="E7" s="92">
        <f t="shared" si="1"/>
        <v>-7.0790065665948587E-2</v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15757248</v>
      </c>
      <c r="D8" s="199">
        <f>IF(Inputs!D26="","",Inputs!D26)</f>
        <v>14926379</v>
      </c>
      <c r="E8" s="199">
        <f>IF(Inputs!E26="","",Inputs!E26)</f>
        <v>13017826</v>
      </c>
      <c r="F8" s="199">
        <f>IF(Inputs!F26="","",Inputs!F26)</f>
        <v>12918146</v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8010688</v>
      </c>
      <c r="D9" s="151">
        <f t="shared" si="2"/>
        <v>7689499</v>
      </c>
      <c r="E9" s="151">
        <f t="shared" si="2"/>
        <v>7772318</v>
      </c>
      <c r="F9" s="151">
        <f t="shared" si="2"/>
        <v>9455855</v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5068887</v>
      </c>
      <c r="D10" s="199">
        <f>IF(Inputs!D27="","",Inputs!D27)</f>
        <v>4888813</v>
      </c>
      <c r="E10" s="199">
        <f>IF(Inputs!E27="","",Inputs!E27)</f>
        <v>4526293</v>
      </c>
      <c r="F10" s="199">
        <f>IF(Inputs!F27="","",Inputs!F27)</f>
        <v>4832922</v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9">
        <f>IF(Inputs!C30="","",MAX(Inputs!C30,0)/(1-Fin_Analysis!$I$84))</f>
        <v>9161.3333333333339</v>
      </c>
      <c r="D12" s="199">
        <f>IF(Inputs!D30="","",MAX(Inputs!D30,0)/(1-Fin_Analysis!$I$84))</f>
        <v>32068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227</v>
      </c>
      <c r="C13" s="229">
        <f t="shared" ref="C13:M13" si="3">IF(C14="","",C14/C6)</f>
        <v>0.12338638351544982</v>
      </c>
      <c r="D13" s="229">
        <f t="shared" si="3"/>
        <v>0.12241921361620363</v>
      </c>
      <c r="E13" s="229">
        <f t="shared" si="3"/>
        <v>0.15613287719411659</v>
      </c>
      <c r="F13" s="229">
        <f t="shared" si="3"/>
        <v>0.20662075593900259</v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219</v>
      </c>
      <c r="C14" s="230">
        <f>IF(C6="","",C9-C10-MAX(C11,0)-MAX(C12,0))</f>
        <v>2932639.6666666665</v>
      </c>
      <c r="D14" s="230">
        <f t="shared" ref="D14:M14" si="4">IF(D6="","",D9-D10-MAX(D11,0)-MAX(D12,0))</f>
        <v>2768618</v>
      </c>
      <c r="E14" s="230">
        <f t="shared" si="4"/>
        <v>3246025</v>
      </c>
      <c r="F14" s="230">
        <f t="shared" si="4"/>
        <v>4622933</v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228</v>
      </c>
      <c r="C15" s="232">
        <f>IF(D14="","",IF(ABS(C14+D14)=ABS(C14)+ABS(D14),IF(C14&lt;0,-1,1)*(C14-D14)/D14,"Turn"))</f>
        <v>5.9243155490091633E-2</v>
      </c>
      <c r="D15" s="232">
        <f t="shared" ref="D15:M15" si="5">IF(E14="","",IF(ABS(D14+E14)=ABS(D14)+ABS(E14),IF(D14&lt;0,-1,1)*(D14-E14)/E14,"Turn"))</f>
        <v>-0.14707434477553316</v>
      </c>
      <c r="E15" s="232">
        <f t="shared" si="5"/>
        <v>-0.2978429494868301</v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>
        <f>IF(Inputs!C31="","",Inputs!C31)</f>
        <v>-518383</v>
      </c>
      <c r="D16" s="199">
        <f>IF(Inputs!D31="","",Inputs!D31)</f>
        <v>-1450811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240</v>
      </c>
      <c r="C17" s="199">
        <f>IF(Inputs!C29="","",Inputs!C29)</f>
        <v>646577</v>
      </c>
      <c r="D17" s="199">
        <f>IF(Inputs!D29="","",Inputs!D29)</f>
        <v>468159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>
        <f t="shared" ref="C18:M18" si="6">IF(OR(C6="",C19=""),"",C19/C6)</f>
        <v>3.7858567104859249E-2</v>
      </c>
      <c r="D18" s="152">
        <f t="shared" si="6"/>
        <v>3.9219923276911914E-2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>
        <f>IF(Inputs!C32="","",Inputs!C32)</f>
        <v>899820</v>
      </c>
      <c r="D19" s="199">
        <f>IF(Inputs!D32="","",Inputs!D32)</f>
        <v>886993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2">
        <f t="shared" ref="C20:M20" si="7">IF(C6="","",MAX(C21,0)/C6)</f>
        <v>6.397299285895082E-2</v>
      </c>
      <c r="D20" s="152">
        <f t="shared" si="7"/>
        <v>5.5034653087534344E-2</v>
      </c>
      <c r="E20" s="152">
        <f t="shared" si="7"/>
        <v>0</v>
      </c>
      <c r="F20" s="152">
        <f t="shared" si="7"/>
        <v>0</v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>
        <f>IF(Inputs!C33="","",Inputs!C33)</f>
        <v>1520506</v>
      </c>
      <c r="D21" s="199">
        <f>IF(Inputs!D33="","",Inputs!D33)</f>
        <v>1244657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1665376.6666666665</v>
      </c>
      <c r="D22" s="161">
        <f t="shared" ref="D22:M22" si="8">IF(D6="","",D14-MAX(D16,0)-MAX(D17,0)-ABS(MAX(D21,0)-MAX(D19,0)))</f>
        <v>1942795</v>
      </c>
      <c r="E22" s="161">
        <f t="shared" si="8"/>
        <v>3246025</v>
      </c>
      <c r="F22" s="161">
        <f t="shared" si="8"/>
        <v>4622933</v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5.2551155472650213E-2</v>
      </c>
      <c r="D23" s="153">
        <f t="shared" si="9"/>
        <v>6.4428020437676578E-2</v>
      </c>
      <c r="E23" s="153">
        <f t="shared" si="9"/>
        <v>0.11709965789558745</v>
      </c>
      <c r="F23" s="153">
        <f t="shared" si="9"/>
        <v>0.15496556695425195</v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1249032.5</v>
      </c>
      <c r="D24" s="77">
        <f>IF(D6="","",D22*(1-Fin_Analysis!$I$84))</f>
        <v>1457096.25</v>
      </c>
      <c r="E24" s="77">
        <f>IF(E6="","",E22*(1-Fin_Analysis!$I$84))</f>
        <v>2434518.75</v>
      </c>
      <c r="F24" s="77">
        <f>IF(F6="","",F22*(1-Fin_Analysis!$I$84))</f>
        <v>3467199.75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123</v>
      </c>
      <c r="C25" s="233">
        <f>IF(D24="","",IF(ABS(C24+D24)=ABS(C24)+ABS(D24),IF(C24&lt;0,-1,1)*(C24-D24)/D24,"Turn"))</f>
        <v>-0.14279341532860304</v>
      </c>
      <c r="D25" s="233">
        <f t="shared" ref="D25:M25" si="10">IF(E24="","",IF(ABS(D24+E24)=ABS(D24)+ABS(E24),IF(D24&lt;0,-1,1)*(D24-E24)/E24,"Turn"))</f>
        <v>-0.40148489306151369</v>
      </c>
      <c r="E25" s="233">
        <f t="shared" si="10"/>
        <v>-0.2978429494868301</v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9" t="str">
        <f>IF(Inputs!D35="","",Inputs!D35)</f>
        <v/>
      </c>
      <c r="E28" s="199" t="str">
        <f>IF(Inputs!E35="","",Inputs!E35)</f>
        <v/>
      </c>
      <c r="F28" s="199" t="str">
        <f>IF(Inputs!F35="","",Inputs!F35)</f>
        <v/>
      </c>
      <c r="G28" s="199" t="str">
        <f>IF(Inputs!G35="","",Inputs!G35)</f>
        <v/>
      </c>
      <c r="H28" s="199" t="str">
        <f>IF(Inputs!H35="","",Inputs!H35)</f>
        <v/>
      </c>
      <c r="I28" s="199" t="str">
        <f>IF(Inputs!I35="","",Inputs!I35)</f>
        <v/>
      </c>
      <c r="J28" s="199" t="str">
        <f>IF(Inputs!J35="","",Inputs!J35)</f>
        <v/>
      </c>
      <c r="K28" s="199" t="str">
        <f>IF(Inputs!K35="","",Inputs!K35)</f>
        <v/>
      </c>
      <c r="L28" s="199" t="str">
        <f>IF(Inputs!L35="","",Inputs!L35)</f>
        <v/>
      </c>
      <c r="M28" s="199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9" t="str">
        <f>IF(Inputs!D36="","",Inputs!D36)</f>
        <v/>
      </c>
      <c r="E29" s="199" t="str">
        <f>IF(Inputs!E36="","",Inputs!E36)</f>
        <v/>
      </c>
      <c r="F29" s="199" t="str">
        <f>IF(Inputs!F36="","",Inputs!F36)</f>
        <v/>
      </c>
      <c r="G29" s="199" t="str">
        <f>IF(Inputs!G36="","",Inputs!G36)</f>
        <v/>
      </c>
      <c r="H29" s="199" t="str">
        <f>IF(Inputs!H36="","",Inputs!H36)</f>
        <v/>
      </c>
      <c r="I29" s="199" t="str">
        <f>IF(Inputs!I36="","",Inputs!I36)</f>
        <v/>
      </c>
      <c r="J29" s="199" t="str">
        <f>IF(Inputs!J36="","",Inputs!J36)</f>
        <v/>
      </c>
      <c r="K29" s="199" t="str">
        <f>IF(Inputs!K36="","",Inputs!K36)</f>
        <v/>
      </c>
      <c r="L29" s="199" t="str">
        <f>IF(Inputs!L36="","",Inputs!L36)</f>
        <v/>
      </c>
      <c r="M29" s="199" t="str">
        <f>IF(Inputs!M36="","",Inputs!M36)</f>
        <v/>
      </c>
      <c r="N29" s="87"/>
    </row>
    <row r="30" spans="1:14" ht="15.75" customHeight="1" x14ac:dyDescent="0.4">
      <c r="A30" s="4"/>
      <c r="B30" s="94" t="s">
        <v>264</v>
      </c>
      <c r="C30" s="65">
        <f>Inputs!C37</f>
        <v>0</v>
      </c>
      <c r="D30" s="199" t="str">
        <f>IF(Inputs!D37="","",Inputs!D37)</f>
        <v/>
      </c>
      <c r="E30" s="199" t="str">
        <f>IF(Inputs!E37="","",Inputs!E37)</f>
        <v/>
      </c>
      <c r="F30" s="199" t="str">
        <f>IF(Inputs!F37="","",Inputs!F37)</f>
        <v/>
      </c>
      <c r="G30" s="199" t="str">
        <f>IF(Inputs!G37="","",Inputs!G37)</f>
        <v/>
      </c>
      <c r="H30" s="199" t="str">
        <f>IF(Inputs!H37="","",Inputs!H37)</f>
        <v/>
      </c>
      <c r="I30" s="199" t="str">
        <f>IF(Inputs!I37="","",Inputs!I37)</f>
        <v/>
      </c>
      <c r="J30" s="199" t="str">
        <f>IF(Inputs!J37="","",Inputs!J37)</f>
        <v/>
      </c>
      <c r="K30" s="199" t="str">
        <f>IF(Inputs!K37="","",Inputs!K37)</f>
        <v/>
      </c>
      <c r="L30" s="199" t="str">
        <f>IF(Inputs!L37="","",Inputs!L37)</f>
        <v/>
      </c>
      <c r="M30" s="199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9" t="str">
        <f>IF(Inputs!D39="","",Inputs!D39)</f>
        <v/>
      </c>
      <c r="E31" s="199" t="str">
        <f>IF(Inputs!E39="","",Inputs!E39)</f>
        <v/>
      </c>
      <c r="F31" s="199" t="str">
        <f>IF(Inputs!F39="","",Inputs!F39)</f>
        <v/>
      </c>
      <c r="G31" s="199" t="str">
        <f>IF(Inputs!G39="","",Inputs!G39)</f>
        <v/>
      </c>
      <c r="H31" s="199" t="str">
        <f>IF(Inputs!H39="","",Inputs!H39)</f>
        <v/>
      </c>
      <c r="I31" s="199" t="str">
        <f>IF(Inputs!I39="","",Inputs!I39)</f>
        <v/>
      </c>
      <c r="J31" s="199" t="str">
        <f>IF(Inputs!J39="","",Inputs!J39)</f>
        <v/>
      </c>
      <c r="K31" s="199" t="str">
        <f>IF(Inputs!K39="","",Inputs!K39)</f>
        <v/>
      </c>
      <c r="L31" s="199" t="str">
        <f>IF(Inputs!L39="","",Inputs!L39)</f>
        <v/>
      </c>
      <c r="M31" s="199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9" t="str">
        <f>IF(Inputs!D40="","",Inputs!D40)</f>
        <v/>
      </c>
      <c r="E32" s="199" t="str">
        <f>IF(Inputs!E40="","",Inputs!E40)</f>
        <v/>
      </c>
      <c r="F32" s="199" t="str">
        <f>IF(Inputs!F40="","",Inputs!F40)</f>
        <v/>
      </c>
      <c r="G32" s="199" t="str">
        <f>IF(Inputs!G40="","",Inputs!G40)</f>
        <v/>
      </c>
      <c r="H32" s="199" t="str">
        <f>IF(Inputs!H40="","",Inputs!H40)</f>
        <v/>
      </c>
      <c r="I32" s="199" t="str">
        <f>IF(Inputs!I40="","",Inputs!I40)</f>
        <v/>
      </c>
      <c r="J32" s="199" t="str">
        <f>IF(Inputs!J40="","",Inputs!J40)</f>
        <v/>
      </c>
      <c r="K32" s="199" t="str">
        <f>IF(Inputs!K40="","",Inputs!K40)</f>
        <v/>
      </c>
      <c r="L32" s="199" t="str">
        <f>IF(Inputs!L40="","",Inputs!L40)</f>
        <v/>
      </c>
      <c r="M32" s="199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9" t="str">
        <f>IF(Inputs!D41="","",Inputs!D41)</f>
        <v/>
      </c>
      <c r="E34" s="199" t="str">
        <f>IF(Inputs!E41="","",Inputs!E41)</f>
        <v/>
      </c>
      <c r="F34" s="199" t="str">
        <f>IF(Inputs!F41="","",Inputs!F41)</f>
        <v/>
      </c>
      <c r="G34" s="199" t="str">
        <f>IF(Inputs!G41="","",Inputs!G41)</f>
        <v/>
      </c>
      <c r="H34" s="199" t="str">
        <f>IF(Inputs!H41="","",Inputs!H41)</f>
        <v/>
      </c>
      <c r="I34" s="199" t="str">
        <f>IF(Inputs!I41="","",Inputs!I41)</f>
        <v/>
      </c>
      <c r="J34" s="199" t="str">
        <f>IF(Inputs!J41="","",Inputs!J41)</f>
        <v/>
      </c>
      <c r="K34" s="199" t="str">
        <f>IF(Inputs!K41="","",Inputs!K41)</f>
        <v/>
      </c>
      <c r="L34" s="199" t="str">
        <f>IF(Inputs!L41="","",Inputs!L41)</f>
        <v/>
      </c>
      <c r="M34" s="199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9" t="str">
        <f>IF(Inputs!D42="","",Inputs!D42)</f>
        <v/>
      </c>
      <c r="E35" s="199" t="str">
        <f>IF(Inputs!E42="","",Inputs!E42)</f>
        <v/>
      </c>
      <c r="F35" s="199" t="str">
        <f>IF(Inputs!F42="","",Inputs!F42)</f>
        <v/>
      </c>
      <c r="G35" s="199" t="str">
        <f>IF(Inputs!G42="","",Inputs!G42)</f>
        <v/>
      </c>
      <c r="H35" s="199" t="str">
        <f>IF(Inputs!H42="","",Inputs!H42)</f>
        <v/>
      </c>
      <c r="I35" s="199" t="str">
        <f>IF(Inputs!I42="","",Inputs!I42)</f>
        <v/>
      </c>
      <c r="J35" s="199" t="str">
        <f>IF(Inputs!J42="","",Inputs!J42)</f>
        <v/>
      </c>
      <c r="K35" s="199" t="str">
        <f>IF(Inputs!K42="","",Inputs!K42)</f>
        <v/>
      </c>
      <c r="L35" s="199" t="str">
        <f>IF(Inputs!L42="","",Inputs!L42)</f>
        <v/>
      </c>
      <c r="M35" s="199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9" t="str">
        <f>IF(Inputs!D43="","",Inputs!D43)</f>
        <v/>
      </c>
      <c r="E36" s="199" t="str">
        <f>IF(Inputs!E43="","",Inputs!E43)</f>
        <v/>
      </c>
      <c r="F36" s="199" t="str">
        <f>IF(Inputs!F43="","",Inputs!F43)</f>
        <v/>
      </c>
      <c r="G36" s="199" t="str">
        <f>IF(Inputs!G43="","",Inputs!G43)</f>
        <v/>
      </c>
      <c r="H36" s="199" t="str">
        <f>IF(Inputs!H43="","",Inputs!H43)</f>
        <v/>
      </c>
      <c r="I36" s="199" t="str">
        <f>IF(Inputs!I43="","",Inputs!I43)</f>
        <v/>
      </c>
      <c r="J36" s="199" t="str">
        <f>IF(Inputs!J43="","",Inputs!J43)</f>
        <v/>
      </c>
      <c r="K36" s="199" t="str">
        <f>IF(Inputs!K43="","",Inputs!K43)</f>
        <v/>
      </c>
      <c r="L36" s="199" t="str">
        <f>IF(Inputs!L43="","",Inputs!L43)</f>
        <v/>
      </c>
      <c r="M36" s="199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5" t="e">
        <f>IF(C6="","",C14/MAX(C37,0))</f>
        <v>#DIV/0!</v>
      </c>
      <c r="D38" s="155" t="e">
        <f>IF(D6="","",D14/MAX(D37,0))</f>
        <v>#DIV/0!</v>
      </c>
      <c r="E38" s="155" t="e">
        <f>IF(E6="","",E14/MAX(E37,0))</f>
        <v>#DIV/0!</v>
      </c>
      <c r="F38" s="155" t="str">
        <f t="shared" ref="F38:M38" si="33">IF(F37="","",F14/F37)</f>
        <v/>
      </c>
      <c r="G38" s="155" t="str">
        <f t="shared" si="33"/>
        <v/>
      </c>
      <c r="H38" s="155" t="str">
        <f t="shared" si="33"/>
        <v/>
      </c>
      <c r="I38" s="155" t="str">
        <f t="shared" si="33"/>
        <v/>
      </c>
      <c r="J38" s="155" t="str">
        <f t="shared" si="33"/>
        <v/>
      </c>
      <c r="K38" s="155" t="str">
        <f t="shared" si="33"/>
        <v/>
      </c>
      <c r="L38" s="155" t="str">
        <f t="shared" si="33"/>
        <v/>
      </c>
      <c r="M38" s="155" t="str">
        <f t="shared" si="33"/>
        <v/>
      </c>
      <c r="N38" s="87"/>
    </row>
    <row r="39" spans="1:14" ht="15.75" customHeight="1" x14ac:dyDescent="0.4">
      <c r="A39" s="16"/>
      <c r="B39" s="55" t="s">
        <v>248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6">
        <f t="shared" ref="C40:M40" si="34">IF(C6="","",C8/C6)</f>
        <v>0.66296240447635002</v>
      </c>
      <c r="D40" s="156">
        <f t="shared" si="34"/>
        <v>0.65999555710373037</v>
      </c>
      <c r="E40" s="156">
        <f t="shared" si="34"/>
        <v>0.62615371976259515</v>
      </c>
      <c r="F40" s="156">
        <f t="shared" si="34"/>
        <v>0.57737308584191094</v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3">
        <f t="shared" ref="C41:M41" si="35">IF(C6="","",(C10+MAX(C11,0))/C6)</f>
        <v>0.21326576274860384</v>
      </c>
      <c r="D41" s="153">
        <f t="shared" si="35"/>
        <v>0.21616728742523283</v>
      </c>
      <c r="E41" s="153">
        <f t="shared" si="35"/>
        <v>0.21771340304328821</v>
      </c>
      <c r="F41" s="153">
        <f t="shared" si="35"/>
        <v>0.21600615821908653</v>
      </c>
      <c r="G41" s="153" t="str">
        <f t="shared" si="35"/>
        <v/>
      </c>
      <c r="H41" s="153" t="str">
        <f t="shared" si="35"/>
        <v/>
      </c>
      <c r="I41" s="153" t="str">
        <f t="shared" si="35"/>
        <v/>
      </c>
      <c r="J41" s="153" t="str">
        <f t="shared" si="35"/>
        <v/>
      </c>
      <c r="K41" s="153" t="str">
        <f t="shared" si="35"/>
        <v/>
      </c>
      <c r="L41" s="153" t="str">
        <f t="shared" si="35"/>
        <v/>
      </c>
      <c r="M41" s="153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3">
        <f t="shared" ref="C42:M42" si="36">IF(C6="","",MAX(C16,0)/C6)</f>
        <v>0</v>
      </c>
      <c r="D42" s="153">
        <f t="shared" si="36"/>
        <v>0</v>
      </c>
      <c r="E42" s="153">
        <f t="shared" si="36"/>
        <v>0</v>
      </c>
      <c r="F42" s="153">
        <f t="shared" si="36"/>
        <v>0</v>
      </c>
      <c r="G42" s="153" t="str">
        <f t="shared" si="36"/>
        <v/>
      </c>
      <c r="H42" s="153" t="str">
        <f t="shared" si="36"/>
        <v/>
      </c>
      <c r="I42" s="153" t="str">
        <f t="shared" si="36"/>
        <v/>
      </c>
      <c r="J42" s="153" t="str">
        <f t="shared" si="36"/>
        <v/>
      </c>
      <c r="K42" s="153" t="str">
        <f t="shared" si="36"/>
        <v/>
      </c>
      <c r="L42" s="153" t="str">
        <f t="shared" si="36"/>
        <v/>
      </c>
      <c r="M42" s="153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3">
        <f t="shared" ref="C43:M43" si="37">IF(C6="","",MAX(C17,0)/C6)</f>
        <v>2.7203750464491323E-2</v>
      </c>
      <c r="D43" s="153">
        <f t="shared" si="37"/>
        <v>2.0700456555345761E-2</v>
      </c>
      <c r="E43" s="153">
        <f t="shared" si="37"/>
        <v>0</v>
      </c>
      <c r="F43" s="153">
        <f t="shared" si="37"/>
        <v>0</v>
      </c>
      <c r="G43" s="153" t="str">
        <f t="shared" si="37"/>
        <v/>
      </c>
      <c r="H43" s="153" t="str">
        <f t="shared" si="37"/>
        <v/>
      </c>
      <c r="I43" s="153" t="str">
        <f t="shared" si="37"/>
        <v/>
      </c>
      <c r="J43" s="153" t="str">
        <f t="shared" si="37"/>
        <v/>
      </c>
      <c r="K43" s="153" t="str">
        <f t="shared" si="37"/>
        <v/>
      </c>
      <c r="L43" s="153" t="str">
        <f t="shared" si="37"/>
        <v/>
      </c>
      <c r="M43" s="153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3">
        <f t="shared" ref="C44:M44" si="38">IF(C6="","",MAX(C12,0)/C6)</f>
        <v>3.8544925959634583E-4</v>
      </c>
      <c r="D44" s="153">
        <f t="shared" si="38"/>
        <v>1.4179418548331399E-3</v>
      </c>
      <c r="E44" s="153">
        <f t="shared" si="38"/>
        <v>0</v>
      </c>
      <c r="F44" s="153">
        <f t="shared" si="38"/>
        <v>0</v>
      </c>
      <c r="G44" s="153" t="str">
        <f t="shared" si="38"/>
        <v/>
      </c>
      <c r="H44" s="153" t="str">
        <f t="shared" si="38"/>
        <v/>
      </c>
      <c r="I44" s="153" t="str">
        <f t="shared" si="38"/>
        <v/>
      </c>
      <c r="J44" s="153" t="str">
        <f t="shared" si="38"/>
        <v/>
      </c>
      <c r="K44" s="153" t="str">
        <f t="shared" si="38"/>
        <v/>
      </c>
      <c r="L44" s="153" t="str">
        <f t="shared" si="38"/>
        <v/>
      </c>
      <c r="M44" s="153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3">
        <f t="shared" ref="C45:M45" si="39">IF(C6="","",ABS(MAX(C21,0)-MAX(C19,0))/C6)</f>
        <v>2.6114425754091564E-2</v>
      </c>
      <c r="D45" s="153">
        <f t="shared" si="39"/>
        <v>1.581472981062243E-2</v>
      </c>
      <c r="E45" s="153">
        <f t="shared" si="39"/>
        <v>0</v>
      </c>
      <c r="F45" s="153">
        <f t="shared" si="39"/>
        <v>0</v>
      </c>
      <c r="G45" s="153" t="str">
        <f t="shared" si="39"/>
        <v/>
      </c>
      <c r="H45" s="153" t="str">
        <f t="shared" si="39"/>
        <v/>
      </c>
      <c r="I45" s="153" t="str">
        <f t="shared" si="39"/>
        <v/>
      </c>
      <c r="J45" s="153" t="str">
        <f t="shared" si="39"/>
        <v/>
      </c>
      <c r="K45" s="153" t="str">
        <f t="shared" si="39"/>
        <v/>
      </c>
      <c r="L45" s="153" t="str">
        <f t="shared" si="39"/>
        <v/>
      </c>
      <c r="M45" s="153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3">
        <f t="shared" ref="C46:M46" si="40">IF(C6="","",C22/C6)</f>
        <v>7.0068207296866941E-2</v>
      </c>
      <c r="D46" s="153">
        <f t="shared" si="40"/>
        <v>8.5904027250235437E-2</v>
      </c>
      <c r="E46" s="153">
        <f t="shared" si="40"/>
        <v>0.15613287719411659</v>
      </c>
      <c r="F46" s="153">
        <f t="shared" si="40"/>
        <v>0.20662075593900259</v>
      </c>
      <c r="G46" s="153" t="str">
        <f t="shared" si="40"/>
        <v/>
      </c>
      <c r="H46" s="153" t="str">
        <f t="shared" si="40"/>
        <v/>
      </c>
      <c r="I46" s="153" t="str">
        <f t="shared" si="40"/>
        <v/>
      </c>
      <c r="J46" s="153" t="str">
        <f t="shared" si="40"/>
        <v/>
      </c>
      <c r="K46" s="153" t="str">
        <f t="shared" si="40"/>
        <v/>
      </c>
      <c r="L46" s="153" t="str">
        <f t="shared" si="40"/>
        <v/>
      </c>
      <c r="M46" s="153" t="str">
        <f t="shared" si="40"/>
        <v/>
      </c>
      <c r="N46" s="87"/>
    </row>
    <row r="47" spans="1:14" ht="15.75" customHeight="1" x14ac:dyDescent="0.4">
      <c r="A47" s="16"/>
      <c r="B47" s="102" t="s">
        <v>249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71" t="s">
        <v>255</v>
      </c>
      <c r="C48" s="272" t="e">
        <f t="shared" ref="C48:M48" si="41">IF(C6="","",C6/C27)</f>
        <v>#DIV/0!</v>
      </c>
      <c r="D48" s="272" t="e">
        <f t="shared" si="41"/>
        <v>#VALUE!</v>
      </c>
      <c r="E48" s="272" t="e">
        <f t="shared" si="41"/>
        <v>#VALUE!</v>
      </c>
      <c r="F48" s="272" t="e">
        <f t="shared" si="41"/>
        <v>#VALUE!</v>
      </c>
      <c r="G48" s="272" t="str">
        <f t="shared" si="41"/>
        <v/>
      </c>
      <c r="H48" s="272" t="str">
        <f t="shared" si="41"/>
        <v/>
      </c>
      <c r="I48" s="272" t="str">
        <f t="shared" si="41"/>
        <v/>
      </c>
      <c r="J48" s="272" t="str">
        <f t="shared" si="41"/>
        <v/>
      </c>
      <c r="K48" s="272" t="str">
        <f t="shared" si="41"/>
        <v/>
      </c>
      <c r="L48" s="272" t="str">
        <f t="shared" si="41"/>
        <v/>
      </c>
      <c r="M48" s="272" t="str">
        <f t="shared" si="41"/>
        <v/>
      </c>
      <c r="N48" s="87"/>
    </row>
    <row r="49" spans="1:14" ht="15.75" customHeight="1" x14ac:dyDescent="0.4">
      <c r="A49" s="4"/>
      <c r="B49" s="94" t="s">
        <v>256</v>
      </c>
      <c r="C49" s="153">
        <f t="shared" ref="C49:M49" si="42">IF(C28="","",C28/C6)</f>
        <v>0</v>
      </c>
      <c r="D49" s="153" t="str">
        <f t="shared" si="42"/>
        <v/>
      </c>
      <c r="E49" s="153" t="str">
        <f t="shared" si="42"/>
        <v/>
      </c>
      <c r="F49" s="153" t="str">
        <f t="shared" si="42"/>
        <v/>
      </c>
      <c r="G49" s="153" t="str">
        <f t="shared" si="42"/>
        <v/>
      </c>
      <c r="H49" s="153" t="str">
        <f t="shared" si="42"/>
        <v/>
      </c>
      <c r="I49" s="153" t="str">
        <f t="shared" si="42"/>
        <v/>
      </c>
      <c r="J49" s="153" t="str">
        <f t="shared" si="42"/>
        <v/>
      </c>
      <c r="K49" s="153" t="str">
        <f t="shared" si="42"/>
        <v/>
      </c>
      <c r="L49" s="153" t="str">
        <f t="shared" si="42"/>
        <v/>
      </c>
      <c r="M49" s="153" t="str">
        <f t="shared" si="42"/>
        <v/>
      </c>
      <c r="N49" s="87"/>
    </row>
    <row r="50" spans="1:14" ht="15.75" customHeight="1" x14ac:dyDescent="0.4">
      <c r="A50" s="4"/>
      <c r="B50" s="94" t="s">
        <v>257</v>
      </c>
      <c r="C50" s="153">
        <f t="shared" ref="C50:M50" si="43">IF(C29="","",C29/C6)</f>
        <v>0</v>
      </c>
      <c r="D50" s="153" t="str">
        <f t="shared" si="43"/>
        <v/>
      </c>
      <c r="E50" s="153" t="str">
        <f t="shared" si="43"/>
        <v/>
      </c>
      <c r="F50" s="153" t="str">
        <f t="shared" si="43"/>
        <v/>
      </c>
      <c r="G50" s="153" t="str">
        <f t="shared" si="43"/>
        <v/>
      </c>
      <c r="H50" s="153" t="str">
        <f t="shared" si="43"/>
        <v/>
      </c>
      <c r="I50" s="153" t="str">
        <f t="shared" si="43"/>
        <v/>
      </c>
      <c r="J50" s="153" t="str">
        <f t="shared" si="43"/>
        <v/>
      </c>
      <c r="K50" s="153" t="str">
        <f t="shared" si="43"/>
        <v/>
      </c>
      <c r="L50" s="153" t="str">
        <f t="shared" si="43"/>
        <v/>
      </c>
      <c r="M50" s="153" t="str">
        <f t="shared" si="43"/>
        <v/>
      </c>
      <c r="N50" s="87"/>
    </row>
    <row r="51" spans="1:14" ht="15.75" customHeight="1" x14ac:dyDescent="0.4">
      <c r="A51" s="4"/>
      <c r="B51" s="94" t="s">
        <v>247</v>
      </c>
      <c r="C51" s="153">
        <f t="shared" ref="C51:M51" si="44">IF(D6="","",C16/(C6-D6))</f>
        <v>-0.44996258868911115</v>
      </c>
      <c r="D51" s="153">
        <f t="shared" si="44"/>
        <v>-0.79464533168577678</v>
      </c>
      <c r="E51" s="153" t="e">
        <f t="shared" si="44"/>
        <v>#VALUE!</v>
      </c>
      <c r="F51" s="153" t="str">
        <f t="shared" si="44"/>
        <v/>
      </c>
      <c r="G51" s="153" t="str">
        <f t="shared" si="44"/>
        <v/>
      </c>
      <c r="H51" s="153" t="str">
        <f t="shared" si="44"/>
        <v/>
      </c>
      <c r="I51" s="153" t="str">
        <f t="shared" si="44"/>
        <v/>
      </c>
      <c r="J51" s="153" t="str">
        <f t="shared" si="44"/>
        <v/>
      </c>
      <c r="K51" s="153" t="str">
        <f t="shared" si="44"/>
        <v/>
      </c>
      <c r="L51" s="153" t="str">
        <f t="shared" si="44"/>
        <v/>
      </c>
      <c r="M51" s="153" t="str">
        <f t="shared" si="44"/>
        <v/>
      </c>
      <c r="N51" s="87"/>
    </row>
    <row r="52" spans="1:14" ht="15.75" customHeight="1" x14ac:dyDescent="0.4">
      <c r="A52" s="16"/>
      <c r="B52" s="102" t="s">
        <v>250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251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4">
      <c r="A54" s="4"/>
      <c r="B54" s="94" t="s">
        <v>116</v>
      </c>
      <c r="C54" s="157" t="str">
        <f t="shared" ref="C54:M54" si="46">IF(OR(C22="",C33=""),"",IF(C33&lt;=0,"-",C22/C33))</f>
        <v>-</v>
      </c>
      <c r="D54" s="157" t="str">
        <f t="shared" si="46"/>
        <v/>
      </c>
      <c r="E54" s="157" t="str">
        <f t="shared" si="46"/>
        <v/>
      </c>
      <c r="F54" s="157" t="str">
        <f t="shared" si="46"/>
        <v/>
      </c>
      <c r="G54" s="157" t="str">
        <f t="shared" si="46"/>
        <v/>
      </c>
      <c r="H54" s="157" t="str">
        <f t="shared" si="46"/>
        <v/>
      </c>
      <c r="I54" s="157" t="str">
        <f t="shared" si="46"/>
        <v/>
      </c>
      <c r="J54" s="157" t="str">
        <f t="shared" si="46"/>
        <v/>
      </c>
      <c r="K54" s="157" t="str">
        <f t="shared" si="46"/>
        <v/>
      </c>
      <c r="L54" s="157" t="str">
        <f t="shared" si="46"/>
        <v/>
      </c>
      <c r="M54" s="157" t="str">
        <f t="shared" si="46"/>
        <v/>
      </c>
    </row>
    <row r="55" spans="1:14" ht="15.75" customHeight="1" x14ac:dyDescent="0.4">
      <c r="A55" s="4"/>
      <c r="B55" s="94" t="s">
        <v>118</v>
      </c>
      <c r="C55" s="153">
        <f t="shared" ref="C55:M55" si="47">IF(C22="","",IF(MAX(C17,0)&lt;=0,"-",C17/C22))</f>
        <v>0.38824670294808183</v>
      </c>
      <c r="D55" s="153">
        <f t="shared" si="47"/>
        <v>0.24097189873352567</v>
      </c>
      <c r="E55" s="153" t="str">
        <f t="shared" si="47"/>
        <v>-</v>
      </c>
      <c r="F55" s="153" t="str">
        <f t="shared" si="47"/>
        <v>-</v>
      </c>
      <c r="G55" s="153" t="str">
        <f t="shared" si="47"/>
        <v/>
      </c>
      <c r="H55" s="153" t="str">
        <f t="shared" si="47"/>
        <v/>
      </c>
      <c r="I55" s="153" t="str">
        <f t="shared" si="47"/>
        <v/>
      </c>
      <c r="J55" s="153" t="str">
        <f t="shared" si="47"/>
        <v/>
      </c>
      <c r="K55" s="153" t="str">
        <f t="shared" si="47"/>
        <v/>
      </c>
      <c r="L55" s="153" t="str">
        <f t="shared" si="47"/>
        <v/>
      </c>
      <c r="M55" s="153" t="str">
        <f t="shared" si="47"/>
        <v/>
      </c>
    </row>
    <row r="56" spans="1:14" ht="15.75" customHeight="1" x14ac:dyDescent="0.4">
      <c r="A56" s="4"/>
      <c r="B56" s="98" t="s">
        <v>19</v>
      </c>
      <c r="C56" s="158" t="e">
        <f>IF(#REF!="","",#REF!/C30)</f>
        <v>#REF!</v>
      </c>
      <c r="D56" s="158" t="e">
        <f>IF(#REF!="","",#REF!/D30)</f>
        <v>#REF!</v>
      </c>
      <c r="E56" s="158" t="e">
        <f>IF(#REF!="","",#REF!/E30)</f>
        <v>#REF!</v>
      </c>
      <c r="F56" s="158" t="e">
        <f>IF(#REF!="","",#REF!/F30)</f>
        <v>#REF!</v>
      </c>
      <c r="G56" s="158" t="e">
        <f>IF(#REF!="","",#REF!/G30)</f>
        <v>#REF!</v>
      </c>
      <c r="H56" s="158" t="e">
        <f>IF(#REF!="","",#REF!/H30)</f>
        <v>#REF!</v>
      </c>
      <c r="I56" s="158" t="e">
        <f>IF(#REF!="","",#REF!/I30)</f>
        <v>#REF!</v>
      </c>
      <c r="J56" s="158" t="e">
        <f>IF(#REF!="","",#REF!/J30)</f>
        <v>#REF!</v>
      </c>
      <c r="K56" s="158" t="e">
        <f>IF(#REF!="","",#REF!/K30)</f>
        <v>#REF!</v>
      </c>
      <c r="L56" s="158" t="e">
        <f>IF(#REF!="","",#REF!/L30)</f>
        <v>#REF!</v>
      </c>
      <c r="M56" s="158" t="e">
        <f>IF(#REF!="","",#REF!/M30)</f>
        <v>#REF!</v>
      </c>
    </row>
    <row r="57" spans="1:14" ht="15.75" customHeight="1" x14ac:dyDescent="0.4">
      <c r="A57" s="16"/>
      <c r="B57" s="102" t="s">
        <v>252</v>
      </c>
      <c r="C57" s="273" t="str">
        <f t="shared" ref="C57:M57" si="48">IFERROR(IF(C13*C48*(1/C53)=C58,"","Error"),"")</f>
        <v/>
      </c>
      <c r="D57" s="273" t="str">
        <f t="shared" si="48"/>
        <v/>
      </c>
      <c r="E57" s="273" t="str">
        <f t="shared" si="48"/>
        <v/>
      </c>
      <c r="F57" s="273" t="str">
        <f t="shared" si="48"/>
        <v/>
      </c>
      <c r="G57" s="273" t="str">
        <f t="shared" si="48"/>
        <v/>
      </c>
      <c r="H57" s="273" t="str">
        <f t="shared" si="48"/>
        <v/>
      </c>
      <c r="I57" s="273" t="str">
        <f t="shared" si="48"/>
        <v/>
      </c>
      <c r="J57" s="273" t="str">
        <f t="shared" si="48"/>
        <v/>
      </c>
      <c r="K57" s="273" t="str">
        <f t="shared" si="48"/>
        <v/>
      </c>
      <c r="L57" s="273" t="str">
        <f t="shared" si="48"/>
        <v/>
      </c>
      <c r="M57" s="273" t="str">
        <f t="shared" si="48"/>
        <v/>
      </c>
    </row>
    <row r="58" spans="1:14" ht="15.75" customHeight="1" x14ac:dyDescent="0.4">
      <c r="A58" s="4"/>
      <c r="B58" s="271" t="s">
        <v>253</v>
      </c>
      <c r="C58" s="274" t="e">
        <f t="shared" ref="C58:M58" si="49">IF(C14="","",C14/(C34-C35))</f>
        <v>#DIV/0!</v>
      </c>
      <c r="D58" s="274" t="e">
        <f t="shared" si="49"/>
        <v>#VALUE!</v>
      </c>
      <c r="E58" s="274" t="e">
        <f t="shared" si="49"/>
        <v>#VALUE!</v>
      </c>
      <c r="F58" s="274" t="e">
        <f t="shared" si="49"/>
        <v>#VALUE!</v>
      </c>
      <c r="G58" s="274" t="str">
        <f t="shared" si="49"/>
        <v/>
      </c>
      <c r="H58" s="274" t="str">
        <f t="shared" si="49"/>
        <v/>
      </c>
      <c r="I58" s="274" t="str">
        <f t="shared" si="49"/>
        <v/>
      </c>
      <c r="J58" s="274" t="str">
        <f t="shared" si="49"/>
        <v/>
      </c>
      <c r="K58" s="274" t="str">
        <f t="shared" si="49"/>
        <v/>
      </c>
      <c r="L58" s="274" t="str">
        <f t="shared" si="49"/>
        <v/>
      </c>
      <c r="M58" s="274" t="str">
        <f t="shared" si="49"/>
        <v/>
      </c>
    </row>
    <row r="59" spans="1:14" ht="15.75" customHeight="1" x14ac:dyDescent="0.4">
      <c r="A59" s="4"/>
      <c r="B59" s="271" t="s">
        <v>254</v>
      </c>
      <c r="C59" s="274" t="e">
        <f t="shared" ref="C59:M59" si="50">IF(C22="","",C22/(C34-C35))</f>
        <v>#DIV/0!</v>
      </c>
      <c r="D59" s="274" t="e">
        <f t="shared" si="50"/>
        <v>#VALUE!</v>
      </c>
      <c r="E59" s="274" t="e">
        <f t="shared" si="50"/>
        <v>#VALUE!</v>
      </c>
      <c r="F59" s="274" t="e">
        <f t="shared" si="50"/>
        <v>#VALUE!</v>
      </c>
      <c r="G59" s="274" t="str">
        <f t="shared" si="50"/>
        <v/>
      </c>
      <c r="H59" s="274" t="str">
        <f t="shared" si="50"/>
        <v/>
      </c>
      <c r="I59" s="274" t="str">
        <f t="shared" si="50"/>
        <v/>
      </c>
      <c r="J59" s="274" t="str">
        <f t="shared" si="50"/>
        <v/>
      </c>
      <c r="K59" s="274" t="str">
        <f t="shared" si="50"/>
        <v/>
      </c>
      <c r="L59" s="274" t="str">
        <f t="shared" si="50"/>
        <v/>
      </c>
      <c r="M59" s="274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143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144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23767936</v>
      </c>
      <c r="D74" s="209"/>
      <c r="E74" s="238">
        <f>Inputs!E91</f>
        <v>23767936</v>
      </c>
      <c r="F74" s="209"/>
      <c r="H74" s="238">
        <f>Inputs!F91</f>
        <v>23767936</v>
      </c>
      <c r="I74" s="209"/>
      <c r="K74" s="24"/>
    </row>
    <row r="75" spans="1:11" ht="15" customHeight="1" x14ac:dyDescent="0.4">
      <c r="B75" s="104" t="s">
        <v>102</v>
      </c>
      <c r="C75" s="77">
        <f>Data!C8</f>
        <v>15757248</v>
      </c>
      <c r="D75" s="159">
        <f>C75/$C$74</f>
        <v>0.66296240447635002</v>
      </c>
      <c r="E75" s="238">
        <f>Inputs!E92</f>
        <v>15757248</v>
      </c>
      <c r="F75" s="160">
        <f>E75/E74</f>
        <v>0.66296240447635002</v>
      </c>
      <c r="H75" s="238">
        <f>Inputs!F92</f>
        <v>15757248</v>
      </c>
      <c r="I75" s="160">
        <f>H75/$H$74</f>
        <v>0.66296240447635002</v>
      </c>
      <c r="K75" s="24"/>
    </row>
    <row r="76" spans="1:11" ht="15" customHeight="1" x14ac:dyDescent="0.4">
      <c r="B76" s="35" t="s">
        <v>92</v>
      </c>
      <c r="C76" s="161">
        <f>C74-C75</f>
        <v>8010688</v>
      </c>
      <c r="D76" s="210"/>
      <c r="E76" s="162">
        <f>E74-E75</f>
        <v>8010688</v>
      </c>
      <c r="F76" s="210"/>
      <c r="H76" s="162">
        <f>H74-H75</f>
        <v>8010688</v>
      </c>
      <c r="I76" s="210"/>
      <c r="K76" s="24"/>
    </row>
    <row r="77" spans="1:11" ht="15" customHeight="1" x14ac:dyDescent="0.4">
      <c r="B77" s="104" t="s">
        <v>231</v>
      </c>
      <c r="C77" s="77">
        <f>Data!C10+MAX(Data!C11,0)</f>
        <v>5068887</v>
      </c>
      <c r="D77" s="159">
        <f>C77/$C$74</f>
        <v>0.21326576274860384</v>
      </c>
      <c r="E77" s="238">
        <f>Inputs!E93</f>
        <v>5068887</v>
      </c>
      <c r="F77" s="160">
        <f>E77/E74</f>
        <v>0.21326576274860384</v>
      </c>
      <c r="H77" s="238">
        <f>Inputs!F93</f>
        <v>5068887</v>
      </c>
      <c r="I77" s="160">
        <f>H77/$H$74</f>
        <v>0.21326576274860384</v>
      </c>
      <c r="K77" s="24"/>
    </row>
    <row r="78" spans="1:11" ht="15" customHeight="1" x14ac:dyDescent="0.4">
      <c r="B78" s="73" t="s">
        <v>161</v>
      </c>
      <c r="C78" s="77">
        <f>MAX(Data!C12,0)</f>
        <v>9161.3333333333339</v>
      </c>
      <c r="D78" s="159">
        <f>C78/$C$74</f>
        <v>3.8544925959634583E-4</v>
      </c>
      <c r="E78" s="180">
        <f>E74*F78</f>
        <v>9161.3333333333339</v>
      </c>
      <c r="F78" s="160">
        <f>I78</f>
        <v>3.8544925959634583E-4</v>
      </c>
      <c r="H78" s="238">
        <f>Inputs!F97</f>
        <v>9161.3333333333339</v>
      </c>
      <c r="I78" s="160">
        <f>H78/$H$74</f>
        <v>3.8544925959634583E-4</v>
      </c>
      <c r="K78" s="24"/>
    </row>
    <row r="79" spans="1:11" ht="15" customHeight="1" x14ac:dyDescent="0.4">
      <c r="B79" s="256" t="s">
        <v>218</v>
      </c>
      <c r="C79" s="257">
        <f>C76-C77-C78</f>
        <v>2932639.6666666665</v>
      </c>
      <c r="D79" s="258">
        <f>C79/C74</f>
        <v>0.12338638351544982</v>
      </c>
      <c r="E79" s="259">
        <f>E76-E77-E78</f>
        <v>2932639.6666666665</v>
      </c>
      <c r="F79" s="258">
        <f>E79/E74</f>
        <v>0.12338638351544982</v>
      </c>
      <c r="G79" s="260"/>
      <c r="H79" s="259">
        <f>H76-H77-H78</f>
        <v>2932639.6666666665</v>
      </c>
      <c r="I79" s="258">
        <f>H79/H74</f>
        <v>0.12338638351544982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126</v>
      </c>
    </row>
    <row r="81" spans="1:11" ht="15" customHeight="1" x14ac:dyDescent="0.4">
      <c r="B81" s="104" t="s">
        <v>240</v>
      </c>
      <c r="C81" s="77">
        <f>MAX(Data!C17,0)</f>
        <v>646577</v>
      </c>
      <c r="D81" s="159">
        <f>C81/$C$74</f>
        <v>2.7203750464491323E-2</v>
      </c>
      <c r="E81" s="180">
        <f>E74*F81</f>
        <v>646577</v>
      </c>
      <c r="F81" s="160">
        <f>I81</f>
        <v>2.7203750464491323E-2</v>
      </c>
      <c r="H81" s="238">
        <f>Inputs!F94</f>
        <v>646577</v>
      </c>
      <c r="I81" s="160">
        <f>H81/$H$74</f>
        <v>2.7203750464491323E-2</v>
      </c>
      <c r="K81" s="24"/>
    </row>
    <row r="82" spans="1:11" ht="15" customHeight="1" x14ac:dyDescent="0.4">
      <c r="B82" s="28" t="s">
        <v>230</v>
      </c>
      <c r="C82" s="77">
        <f>ABS(MAX(Data!C21,0)-MAX(Data!C19,0))</f>
        <v>620686</v>
      </c>
      <c r="D82" s="159">
        <f>C82/$C$74</f>
        <v>2.6114425754091564E-2</v>
      </c>
      <c r="E82" s="238">
        <f>Inputs!E95</f>
        <v>475358.72000000003</v>
      </c>
      <c r="F82" s="160">
        <f>E82/E74</f>
        <v>0.02</v>
      </c>
      <c r="H82" s="238">
        <f>Inputs!F95</f>
        <v>237679.36000000002</v>
      </c>
      <c r="I82" s="160">
        <f>H82/$H$74</f>
        <v>0.01</v>
      </c>
      <c r="K82" s="24"/>
    </row>
    <row r="83" spans="1:11" ht="15" customHeight="1" thickBot="1" x14ac:dyDescent="0.45">
      <c r="B83" s="105" t="s">
        <v>120</v>
      </c>
      <c r="C83" s="163">
        <f>C79-C81-C82-C80</f>
        <v>1665376.6666666665</v>
      </c>
      <c r="D83" s="164">
        <f>C83/$C$74</f>
        <v>7.0068207296866941E-2</v>
      </c>
      <c r="E83" s="165">
        <f>E79-E81-E82-E80</f>
        <v>1810703.9466666665</v>
      </c>
      <c r="F83" s="164">
        <f>E83/E74</f>
        <v>7.6182633050958501E-2</v>
      </c>
      <c r="H83" s="165">
        <f>H79-H81-H82-H80</f>
        <v>2048383.3066666664</v>
      </c>
      <c r="I83" s="164">
        <f>H83/$H$74</f>
        <v>8.6182633050958496E-2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156</v>
      </c>
      <c r="C85" s="257">
        <f>C83*(1-I84)</f>
        <v>1249032.5</v>
      </c>
      <c r="D85" s="258">
        <f>C85/$C$74</f>
        <v>5.2551155472650213E-2</v>
      </c>
      <c r="E85" s="264">
        <f>E83*(1-F84)</f>
        <v>1358027.96</v>
      </c>
      <c r="F85" s="258">
        <f>E85/E74</f>
        <v>5.7136974788218886E-2</v>
      </c>
      <c r="G85" s="260"/>
      <c r="H85" s="264">
        <f>H83*(1-I84)</f>
        <v>1536287.4799999997</v>
      </c>
      <c r="I85" s="258">
        <f>H85/$H$74</f>
        <v>6.4636974788218879E-2</v>
      </c>
      <c r="K85" s="24"/>
    </row>
    <row r="86" spans="1:11" ht="15" customHeight="1" x14ac:dyDescent="0.4">
      <c r="B86" s="87" t="s">
        <v>152</v>
      </c>
      <c r="C86" s="167">
        <f>C85*Data!C4/Common_Shares</f>
        <v>1.0747870395658665</v>
      </c>
      <c r="D86" s="209"/>
      <c r="E86" s="168">
        <f>E85*Data!C4/Common_Shares</f>
        <v>1.1685771593421892</v>
      </c>
      <c r="F86" s="209"/>
      <c r="H86" s="168">
        <f>H85*Data!C4/Common_Shares</f>
        <v>1.3219687018162498</v>
      </c>
      <c r="I86" s="209"/>
      <c r="K86" s="24"/>
    </row>
    <row r="87" spans="1:11" ht="15" customHeight="1" x14ac:dyDescent="0.4">
      <c r="B87" s="87" t="s">
        <v>194</v>
      </c>
      <c r="C87" s="261">
        <f>C86*Exchange_Rate/Dashboard!G3</f>
        <v>5.1993089983413024E-2</v>
      </c>
      <c r="D87" s="209"/>
      <c r="E87" s="262">
        <f>E86*Exchange_Rate/Dashboard!G3</f>
        <v>5.6530210322206051E-2</v>
      </c>
      <c r="F87" s="209"/>
      <c r="H87" s="262">
        <f>H86*Exchange_Rate/Dashboard!G3</f>
        <v>6.3950564287182932E-2</v>
      </c>
      <c r="I87" s="209"/>
      <c r="K87" s="24"/>
    </row>
    <row r="88" spans="1:11" ht="15" customHeight="1" x14ac:dyDescent="0.4">
      <c r="B88" s="86" t="s">
        <v>193</v>
      </c>
      <c r="C88" s="169">
        <f>Inputs!C44</f>
        <v>1.4</v>
      </c>
      <c r="D88" s="166">
        <f>C88/C86</f>
        <v>1.3025836267671176</v>
      </c>
      <c r="E88" s="170">
        <f>Inputs!E98</f>
        <v>1.4</v>
      </c>
      <c r="F88" s="166">
        <f>E88/E86</f>
        <v>1.1980381345020319</v>
      </c>
      <c r="H88" s="170">
        <f>Inputs!F98</f>
        <v>1.4</v>
      </c>
      <c r="I88" s="166">
        <f>H88/H86</f>
        <v>1.0590265851805289</v>
      </c>
      <c r="K88" s="24"/>
    </row>
    <row r="89" spans="1:11" ht="15" customHeight="1" x14ac:dyDescent="0.4">
      <c r="B89" s="87" t="s">
        <v>207</v>
      </c>
      <c r="C89" s="261">
        <f>C88*Exchange_Rate/Dashboard!G3</f>
        <v>6.7725347717423237E-2</v>
      </c>
      <c r="D89" s="209"/>
      <c r="E89" s="261">
        <f>E88*Exchange_Rate/Dashboard!G3</f>
        <v>6.7725347717423237E-2</v>
      </c>
      <c r="F89" s="209"/>
      <c r="H89" s="261">
        <f>H88*Exchange_Rate/Dashboard!G3</f>
        <v>6.7725347717423237E-2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8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195</v>
      </c>
      <c r="F93" s="144">
        <f>FV(E87,D93,0,-(E86/(C93-D94)))*Exchange_Rate</f>
        <v>24.825419220238473</v>
      </c>
      <c r="H93" s="87" t="s">
        <v>195</v>
      </c>
      <c r="I93" s="144">
        <f>FV(H87,D93,0,-(H86/(C93-D94)))*Exchange_Rate</f>
        <v>29.084259990486963</v>
      </c>
      <c r="K93" s="24"/>
    </row>
    <row r="94" spans="1:11" ht="15" customHeight="1" x14ac:dyDescent="0.4">
      <c r="B94" s="1" t="s">
        <v>197</v>
      </c>
      <c r="C94" s="182">
        <f>Dashboard!G20</f>
        <v>0.15</v>
      </c>
      <c r="D94" s="270">
        <f>Inputs!D87</f>
        <v>0.02</v>
      </c>
      <c r="E94" s="87" t="s">
        <v>196</v>
      </c>
      <c r="F94" s="144">
        <f>FV(E89,D93,0,-(E88/(C93-D94)))*Exchange_Rate</f>
        <v>31.351288850872368</v>
      </c>
      <c r="H94" s="87" t="s">
        <v>196</v>
      </c>
      <c r="I94" s="144">
        <f>FV(H89,D93,0,-(H88/(C93-D94)))*Exchange_Rate</f>
        <v>31.351288850872368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199</v>
      </c>
      <c r="E96" s="183" t="str">
        <f>E72</f>
        <v>Pessimistic Case</v>
      </c>
      <c r="F96" s="227" t="s">
        <v>223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16804288.716327831</v>
      </c>
      <c r="D97" s="213"/>
      <c r="E97" s="123">
        <f>PV(C94,D93,0,-F93)</f>
        <v>12.342620880329582</v>
      </c>
      <c r="F97" s="213"/>
      <c r="H97" s="123">
        <f>PV(C94,D93,0,-I93)</f>
        <v>14.460017430636979</v>
      </c>
      <c r="I97" s="123">
        <f>PV(C93,D93,0,-I93)</f>
        <v>19.231318962778229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16804288.716327831</v>
      </c>
      <c r="D100" s="109">
        <f>MIN(F100*(1-C94),E100)</f>
        <v>11.391121282160789</v>
      </c>
      <c r="E100" s="109">
        <f>MAX(E97+H98+E99,0)</f>
        <v>12.342620880329582</v>
      </c>
      <c r="F100" s="109">
        <f>(E100+H100)/2</f>
        <v>13.401319155483282</v>
      </c>
      <c r="H100" s="109">
        <f>MAX(C100*Data!$C$4/Common_Shares,0)</f>
        <v>14.460017430636981</v>
      </c>
      <c r="I100" s="109">
        <f>MAX(I97+H98+H99,0)</f>
        <v>19.231318962778229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7" t="str">
        <f>C96</f>
        <v>HKD</v>
      </c>
      <c r="D102" s="124" t="s">
        <v>199</v>
      </c>
      <c r="E102" s="183" t="str">
        <f>E96</f>
        <v>Pessimistic Case</v>
      </c>
      <c r="F102" s="227" t="s">
        <v>223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18114131.480442327</v>
      </c>
      <c r="D103" s="109">
        <f>MIN(F103*(1-C94),E103)</f>
        <v>13.249061722529838</v>
      </c>
      <c r="E103" s="123">
        <f>PV(C94,D93,0,-F94)</f>
        <v>15.587131438270399</v>
      </c>
      <c r="F103" s="109">
        <f>(E103+H103)/2</f>
        <v>15.587131438270399</v>
      </c>
      <c r="H103" s="123">
        <f>PV(C94,D93,0,-I94)</f>
        <v>15.587131438270399</v>
      </c>
      <c r="I103" s="109">
        <f>PV(C93,D93,0,-I94)</f>
        <v>20.730341290530614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7" t="str">
        <f>C102</f>
        <v>HKD</v>
      </c>
      <c r="D105" s="124" t="s">
        <v>199</v>
      </c>
      <c r="E105" s="184" t="str">
        <f>E96</f>
        <v>Pessimistic Case</v>
      </c>
      <c r="F105" s="227" t="s">
        <v>223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16228874.688037144</v>
      </c>
      <c r="D106" s="109">
        <f>(D100+D103)/2</f>
        <v>12.320091502345313</v>
      </c>
      <c r="E106" s="123">
        <f>(E100+E103)/2</f>
        <v>13.96487615929999</v>
      </c>
      <c r="F106" s="109">
        <f>(F100+F103)/2</f>
        <v>14.494225296876841</v>
      </c>
      <c r="H106" s="123">
        <f>(H100+H103)/2</f>
        <v>15.023574434453689</v>
      </c>
      <c r="I106" s="123">
        <f>(I100+I103)/2</f>
        <v>19.980830126654421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2024-12-16T09:20:23Z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