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E616FC6-041A-4006-8230-BD888D1689C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<sst xmlns="http://schemas.openxmlformats.org/spreadsheetml/2006/main" count="389" uniqueCount="274">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</sst>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356406257089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241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270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9.8946095974847603E-2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v>3628128</v>
      </c>
      <c r="D48" s="60">
        <v>0.9</v>
      </c>
      <c r="E48" s="112"/>
    </row>
    <row r="49" spans="2:5" ht="13.9" x14ac:dyDescent="0.4">
      <c r="B49" s="1" t="s">
        <v>130</v>
      </c>
      <c r="C49" s="59">
        <v>2171209</v>
      </c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>
        <v>3557823</v>
      </c>
      <c r="D51" s="60">
        <v>0.6</v>
      </c>
      <c r="E51" s="112"/>
    </row>
    <row r="52" spans="2:5" ht="13.9" x14ac:dyDescent="0.4">
      <c r="B52" s="3" t="s">
        <v>40</v>
      </c>
      <c r="C52" s="59">
        <v>9431099</v>
      </c>
      <c r="D52" s="60">
        <v>0.5</v>
      </c>
      <c r="E52" s="112"/>
    </row>
    <row r="53" spans="2:5" ht="13.9" x14ac:dyDescent="0.4">
      <c r="B53" s="1" t="s">
        <v>150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65568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638618</v>
      </c>
      <c r="D72" s="248">
        <v>0</v>
      </c>
      <c r="E72" s="249"/>
    </row>
    <row r="73" spans="2:5" ht="13.9" x14ac:dyDescent="0.4">
      <c r="B73" s="3" t="s">
        <v>35</v>
      </c>
      <c r="C73" s="59">
        <v>40496667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>
        <v>3234661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102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230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238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229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193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1398.HK</v>
      </c>
      <c r="D3" s="290"/>
      <c r="E3" s="87"/>
      <c r="F3" s="3" t="s">
        <v>1</v>
      </c>
      <c r="G3" s="132">
        <v>4.8600000000000003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工商银行</v>
      </c>
      <c r="D4" s="292"/>
      <c r="E4" s="87"/>
      <c r="F4" s="3" t="s">
        <v>2</v>
      </c>
      <c r="G4" s="295">
        <f>Inputs!C10</f>
        <v>356406257089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1732134.4094525401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0.83231298028210399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0.48610500800425166</v>
      </c>
      <c r="F24" s="140" t="s">
        <v>240</v>
      </c>
      <c r="G24" s="268">
        <f>G3/(Fin_Analysis!H86*G7)</f>
        <v>4.0440969328811969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0.27257720239339839</v>
      </c>
    </row>
    <row r="26" spans="1:8" ht="15.75" customHeight="1" x14ac:dyDescent="0.4">
      <c r="B26" s="138" t="s">
        <v>259</v>
      </c>
      <c r="C26" s="171">
        <f>Fin_Analysis!I80+Fin_Analysis!I82</f>
        <v>0</v>
      </c>
      <c r="F26" s="141" t="s">
        <v>179</v>
      </c>
      <c r="G26" s="178">
        <f>Fin_Analysis!H88*Exchange_Rate/G3</f>
        <v>6.7401253460856625E-2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2.895253705412022</v>
      </c>
      <c r="D29" s="129">
        <f>G29*(1+G20)</f>
        <v>5.2096169899995601</v>
      </c>
      <c r="E29" s="87"/>
      <c r="F29" s="131">
        <f>IF(Fin_Analysis!C108="Profit",Fin_Analysis!F100,IF(Fin_Analysis!C108="Dividend",Fin_Analysis!F103,Fin_Analysis!F106))</f>
        <v>3.4061808298964964</v>
      </c>
      <c r="G29" s="286">
        <f>IF(Fin_Analysis!C108="Profit",Fin_Analysis!I100,IF(Fin_Analysis!C108="Dividend",Fin_Analysis!I103,Fin_Analysis!I106))</f>
        <v>4.5301017304344002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42280604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42280604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30433918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4.2196363500311286E-2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1.2012210534502537E-2</v>
      </c>
      <c r="D40" s="156">
        <f t="shared" si="34"/>
        <v>1.2898518308810534E-2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0.15470436118294414</v>
      </c>
      <c r="D41" s="153">
        <f t="shared" si="35"/>
        <v>0.18718688266125691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0.48610500800425166</v>
      </c>
      <c r="D43" s="153">
        <f t="shared" si="37"/>
        <v>0.45882609640924893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9.7044800044936142E-4</v>
      </c>
      <c r="D44" s="153">
        <f t="shared" si="38"/>
        <v>1.0198064557502538E-3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0.34620797227785238</v>
      </c>
      <c r="D46" s="153">
        <f t="shared" si="40"/>
        <v>0.34006869616493335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1.2634035849314423E-2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1.4040838077932061</v>
      </c>
      <c r="D55" s="153">
        <f t="shared" si="47"/>
        <v>1.3492159130892725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3234661</v>
      </c>
      <c r="K3" s="24"/>
    </row>
    <row r="4" spans="1:11" ht="15" customHeight="1" x14ac:dyDescent="0.4">
      <c r="B4" s="3" t="s">
        <v>23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1.0639184029144524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35</v>
      </c>
      <c r="I11" s="40">
        <f>Inputs!C73</f>
        <v>40496667</v>
      </c>
      <c r="J11" s="87"/>
      <c r="K11" s="24"/>
    </row>
    <row r="12" spans="1:11" ht="13.9" x14ac:dyDescent="0.4">
      <c r="B12" s="1" t="s">
        <v>130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39</v>
      </c>
      <c r="I14" s="205">
        <f>Inputs!C76</f>
        <v>1783937</v>
      </c>
      <c r="J14" s="87"/>
      <c r="K14" s="27"/>
    </row>
    <row r="15" spans="1:11" ht="13.9" x14ac:dyDescent="0.4">
      <c r="B15" s="3" t="s">
        <v>40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50</v>
      </c>
      <c r="I15" s="84">
        <f>SUM(I11:I14)</f>
        <v>42280604</v>
      </c>
      <c r="J15" s="87"/>
    </row>
    <row r="16" spans="1:11" ht="13.9" x14ac:dyDescent="0.4">
      <c r="B16" s="1" t="s">
        <v>150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51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52</v>
      </c>
      <c r="I25" s="63">
        <f>E28/I28</f>
        <v>0.65175088062330477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77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79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82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629840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42280604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102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92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161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218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152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0.24727399382278284</v>
      </c>
      <c r="D87" s="209"/>
      <c r="E87" s="262">
        <f>E86*Exchange_Rate/Dashboard!G3</f>
        <v>0.24727399382278284</v>
      </c>
      <c r="F87" s="209"/>
      <c r="H87" s="262">
        <f>H86*Exchange_Rate/Dashboard!G3</f>
        <v>0.24727399382278284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207</v>
      </c>
      <c r="C89" s="261">
        <f>C88*Exchange_Rate/Dashboard!G3</f>
        <v>9.8946095974847603E-2</v>
      </c>
      <c r="D89" s="209"/>
      <c r="E89" s="261">
        <f>E88*Exchange_Rate/Dashboard!G3</f>
        <v>6.7401253460856625E-2</v>
      </c>
      <c r="F89" s="209"/>
      <c r="H89" s="261">
        <f>H88*Exchange_Rate/Dashboard!G3</f>
        <v>6.7401253460856625E-2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54.756813386762502</v>
      </c>
      <c r="H93" s="87" t="s">
        <v>195</v>
      </c>
      <c r="I93" s="144">
        <f>FV(H87,D93,0,-(H86/(C93-D94)))*Exchange_Rate</f>
        <v>54.756813386762502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6.8510462941370305</v>
      </c>
      <c r="H94" s="87" t="s">
        <v>196</v>
      </c>
      <c r="I94" s="144">
        <f>FV(H89,D93,0,-(H88/(C93-D94)))*Exchange_Rate</f>
        <v>6.8510462941370305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9702737.5498400275</v>
      </c>
      <c r="D97" s="213"/>
      <c r="E97" s="123">
        <f>PV(C94,D93,0,-F93)</f>
        <v>27.223813714968276</v>
      </c>
      <c r="F97" s="213"/>
      <c r="H97" s="123">
        <f>PV(C94,D93,0,-I93)</f>
        <v>27.223813714968276</v>
      </c>
      <c r="I97" s="123">
        <f>PV(C93,D93,0,-I93)</f>
        <v>36.206722948102872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-34380414.804973289</v>
      </c>
      <c r="D99" s="214"/>
      <c r="E99" s="145">
        <f>IF(H99&gt;0,H99*(1-C94),H99*(1+C94))</f>
        <v>-110.93373429705578</v>
      </c>
      <c r="F99" s="214"/>
      <c r="H99" s="145">
        <f>C99*Data!$C$4/Common_Shares</f>
        <v>-96.464116780048514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1213984.160551714</v>
      </c>
      <c r="D103" s="109">
        <f>MIN(F103*(1-C94),E103)</f>
        <v>2.895253705412022</v>
      </c>
      <c r="E103" s="123">
        <f>PV(C94,D93,0,-F94)</f>
        <v>3.4061808298964964</v>
      </c>
      <c r="F103" s="109">
        <f>(E103+H103)/2</f>
        <v>3.4061808298964964</v>
      </c>
      <c r="H103" s="123">
        <f>PV(C94,D93,0,-I94)</f>
        <v>3.4061808298964964</v>
      </c>
      <c r="I103" s="109">
        <f>PV(C93,D93,0,-I94)</f>
        <v>4.5301017304344002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