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EC78CE-05EE-4177-8B5C-ABCC1927A74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3" i="4" l="1"/>
  <c r="F94" i="4"/>
  <c r="F95" i="4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<sst xmlns="http://schemas.openxmlformats.org/spreadsheetml/2006/main" count="389" uniqueCount="272">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</sst>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2609743532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176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2.6051000668383582E-2</v>
      </c>
      <c r="D45" s="152">
        <f>IF(D44="","",D44*Exchange_Rate/Dashboard!$G$3)</f>
        <v>2.5049039104214983E-2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3.9" x14ac:dyDescent="0.4">
      <c r="B92" s="104" t="s">
        <v>102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3.9" x14ac:dyDescent="0.4">
      <c r="B93" s="104" t="s">
        <v>231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3.9" x14ac:dyDescent="0.4">
      <c r="B94" s="104" t="s">
        <v>240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3606.HK</v>
      </c>
      <c r="D3" s="290"/>
      <c r="E3" s="87"/>
      <c r="F3" s="3" t="s">
        <v>1</v>
      </c>
      <c r="G3" s="132">
        <v>53.35</v>
      </c>
      <c r="H3" s="134" t="s">
        <v>271</v>
      </c>
    </row>
    <row r="4" spans="1:10" ht="15.75" customHeight="1" x14ac:dyDescent="0.4">
      <c r="B4" s="35" t="s">
        <v>181</v>
      </c>
      <c r="C4" s="291" t="str">
        <f>Inputs!C5</f>
        <v>福耀玻璃</v>
      </c>
      <c r="D4" s="292"/>
      <c r="E4" s="87"/>
      <c r="F4" s="3" t="s">
        <v>2</v>
      </c>
      <c r="G4" s="295">
        <f>Inputs!C10</f>
        <v>2609743532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45633</v>
      </c>
      <c r="D5" s="294"/>
      <c r="E5" s="34"/>
      <c r="F5" s="35" t="s">
        <v>96</v>
      </c>
      <c r="G5" s="287">
        <f>G3*G4/1000000</f>
        <v>139229.81743220001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0.30163548163631754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</v>
      </c>
      <c r="F24" s="140" t="s">
        <v>243</v>
      </c>
      <c r="G24" s="268">
        <f>G3/(Fin_Analysis!H86*G7)</f>
        <v>17.359831918165813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0.45224099290316433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179</v>
      </c>
      <c r="G26" s="178">
        <f>Fin_Analysis!H88*Exchange_Rate/G3</f>
        <v>2.6051000668383582E-2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28.345414062319069</v>
      </c>
      <c r="D29" s="129">
        <f>G29*(1+G20)</f>
        <v>52.345080104612258</v>
      </c>
      <c r="E29" s="87"/>
      <c r="F29" s="131">
        <f>IF(Fin_Analysis!C108="Profit",Fin_Analysis!F100,IF(Fin_Analysis!C108="Dividend",Fin_Analysis!F103,Fin_Analysis!F106))</f>
        <v>33.347545955669496</v>
      </c>
      <c r="G29" s="286">
        <f>IF(Fin_Analysis!C108="Profit",Fin_Analysis!I100,IF(Fin_Analysis!C108="Dividend",Fin_Analysis!I103,Fin_Analysis!I106))</f>
        <v>45.517460960532404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0.646070039633309</v>
      </c>
      <c r="D40" s="156">
        <f t="shared" si="34"/>
        <v>0.65965362734589583</v>
      </c>
      <c r="E40" s="156">
        <f t="shared" si="34"/>
        <v>0.64097837640818056</v>
      </c>
      <c r="F40" s="156">
        <f t="shared" si="34"/>
        <v>0.63501137537699193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5.2294478730373475E-2</v>
      </c>
      <c r="D41" s="153">
        <f t="shared" si="35"/>
        <v>5.9885182097398341E-2</v>
      </c>
      <c r="E41" s="153">
        <f t="shared" si="35"/>
        <v>6.298580824022712E-2</v>
      </c>
      <c r="F41" s="153">
        <f t="shared" si="35"/>
        <v>9.2333278728308751E-2</v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</v>
      </c>
      <c r="D43" s="153">
        <f t="shared" si="37"/>
        <v>0</v>
      </c>
      <c r="E43" s="153">
        <f t="shared" si="37"/>
        <v>0</v>
      </c>
      <c r="F43" s="153">
        <f t="shared" si="37"/>
        <v>0</v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>
        <f t="shared" si="38"/>
        <v>0</v>
      </c>
      <c r="F44" s="153">
        <f t="shared" si="38"/>
        <v>0</v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0.30163548163631754</v>
      </c>
      <c r="D46" s="153">
        <f t="shared" si="40"/>
        <v>0.28046119055670582</v>
      </c>
      <c r="E46" s="153">
        <f t="shared" si="40"/>
        <v>0.29603581535159229</v>
      </c>
      <c r="F46" s="153">
        <f t="shared" si="40"/>
        <v>0.27265534589469931</v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 t="str">
        <f t="shared" ref="C55:M55" si="47">IF(C22="","",IF(MAX(C17,0)&lt;=0,"-",C17/C22))</f>
        <v>-</v>
      </c>
      <c r="D55" s="153" t="str">
        <f t="shared" si="47"/>
        <v>-</v>
      </c>
      <c r="E55" s="153" t="str">
        <f t="shared" si="47"/>
        <v>-</v>
      </c>
      <c r="F55" s="153" t="str">
        <f t="shared" si="47"/>
        <v>-</v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4">
      <c r="B75" s="104" t="s">
        <v>102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4">
      <c r="B76" s="35" t="s">
        <v>92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4">
      <c r="B86" s="87" t="s">
        <v>152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5.760424436791764E-2</v>
      </c>
      <c r="D87" s="209"/>
      <c r="E87" s="262">
        <f>E86*Exchange_Rate/Dashboard!G3</f>
        <v>5.760424436791764E-2</v>
      </c>
      <c r="F87" s="209"/>
      <c r="H87" s="262">
        <f>H86*Exchange_Rate/Dashboard!G3</f>
        <v>5.760424436791764E-2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4">
      <c r="B89" s="87" t="s">
        <v>207</v>
      </c>
      <c r="C89" s="261">
        <f>C88*Exchange_Rate/Dashboard!G3</f>
        <v>2.6051000668383582E-2</v>
      </c>
      <c r="D89" s="209"/>
      <c r="E89" s="261">
        <f>E88*Exchange_Rate/Dashboard!G3</f>
        <v>2.6051000668383582E-2</v>
      </c>
      <c r="F89" s="209"/>
      <c r="H89" s="261">
        <f>H88*Exchange_Rate/Dashboard!G3</f>
        <v>2.6051000668383582E-2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67.073826243422374</v>
      </c>
      <c r="H93" s="87" t="s">
        <v>195</v>
      </c>
      <c r="I93" s="144">
        <f>FV(H87,D93,0,-(H86/(C93-D94)))*Exchange_Rate</f>
        <v>67.073826243422374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26.070647853146831</v>
      </c>
      <c r="H94" s="87" t="s">
        <v>196</v>
      </c>
      <c r="I94" s="144">
        <f>FV(H89,D93,0,-(H88/(C93-D94)))*Exchange_Rate</f>
        <v>26.070647853146831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87028542.36588122</v>
      </c>
      <c r="D97" s="213"/>
      <c r="E97" s="123">
        <f>PV(C94,D93,0,-F93)</f>
        <v>33.347545955669496</v>
      </c>
      <c r="F97" s="213"/>
      <c r="H97" s="123">
        <f>PV(C94,D93,0,-I93)</f>
        <v>33.347545955669496</v>
      </c>
      <c r="I97" s="123">
        <f>PV(C93,D93,0,-I93)</f>
        <v>45.517460960532404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87028542.36588122</v>
      </c>
      <c r="D100" s="109">
        <f>MIN(F100*(1-C94),E100)</f>
        <v>28.345414062319069</v>
      </c>
      <c r="E100" s="109">
        <f>MAX(E97+H98+E99,0)</f>
        <v>33.347545955669496</v>
      </c>
      <c r="F100" s="109">
        <f>(E100+H100)/2</f>
        <v>33.347545955669496</v>
      </c>
      <c r="H100" s="109">
        <f>MAX(C100*Data!$C$4/Common_Shares,0)</f>
        <v>33.347545955669496</v>
      </c>
      <c r="I100" s="109">
        <f>MAX(I97+H98+H99,0)</f>
        <v>45.517460960532404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33826763.85508959</v>
      </c>
      <c r="D103" s="109">
        <f>MIN(F103*(1-C94),E103)</f>
        <v>11.017461648728075</v>
      </c>
      <c r="E103" s="123">
        <f>PV(C94,D93,0,-F94)</f>
        <v>12.961719586738912</v>
      </c>
      <c r="F103" s="109">
        <f>(E103+H103)/2</f>
        <v>12.961719586738912</v>
      </c>
      <c r="H103" s="123">
        <f>PV(C94,D93,0,-I94)</f>
        <v>12.961719586738912</v>
      </c>
      <c r="I103" s="109">
        <f>PV(C93,D93,0,-I94)</f>
        <v>17.691993469476035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60427653.110485412</v>
      </c>
      <c r="D106" s="109">
        <f>(D100+D103)/2</f>
        <v>19.681437855523573</v>
      </c>
      <c r="E106" s="123">
        <f>(E100+E103)/2</f>
        <v>23.154632771204206</v>
      </c>
      <c r="F106" s="109">
        <f>(F100+F103)/2</f>
        <v>23.154632771204206</v>
      </c>
      <c r="H106" s="123">
        <f>(H100+H103)/2</f>
        <v>23.154632771204206</v>
      </c>
      <c r="I106" s="123">
        <f>(I100+I103)/2</f>
        <v>31.604727215004218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