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3ACDA3-6FA4-496E-92FD-2E78308D4E8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<sst xmlns="http://schemas.openxmlformats.org/spreadsheetml/2006/main" count="389" uniqueCount="274">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</sst>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294387791241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0.2364</v>
      </c>
      <c r="D44" s="250">
        <v>0.23200000000000001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6.5987880572326504E-2</v>
      </c>
      <c r="D45" s="152">
        <f>IF(D44="","",D44*Exchange_Rate/Dashboard!$G$3)</f>
        <v>6.4759679749491317E-2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102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230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238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229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0.2364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3988.HK</v>
      </c>
      <c r="D3" s="290"/>
      <c r="E3" s="87"/>
      <c r="F3" s="3" t="s">
        <v>1</v>
      </c>
      <c r="G3" s="132">
        <v>3.83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中国银行</v>
      </c>
      <c r="D4" s="292"/>
      <c r="E4" s="87"/>
      <c r="F4" s="3" t="s">
        <v>2</v>
      </c>
      <c r="G4" s="295">
        <f>Inputs!C10</f>
        <v>294387791241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1127505.24045303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0.79282084085452409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</v>
      </c>
      <c r="F24" s="140" t="s">
        <v>240</v>
      </c>
      <c r="G24" s="268">
        <f>G3/(Fin_Analysis!H86*G7)</f>
        <v>4.1733431619416805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0.34947978446388717</v>
      </c>
    </row>
    <row r="26" spans="1:8" ht="15.75" customHeight="1" x14ac:dyDescent="0.4">
      <c r="B26" s="138" t="s">
        <v>259</v>
      </c>
      <c r="C26" s="171">
        <f>Fin_Analysis!I80+Fin_Analysis!I82</f>
        <v>0.49757189674208302</v>
      </c>
      <c r="F26" s="141" t="s">
        <v>179</v>
      </c>
      <c r="G26" s="178">
        <f>Fin_Analysis!H88*Exchange_Rate/G3</f>
        <v>8.3740965193307745E-2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3.058496776840224</v>
      </c>
      <c r="D29" s="129">
        <f>G29*(1+G20)</f>
        <v>5.5033507919190194</v>
      </c>
      <c r="E29" s="87"/>
      <c r="F29" s="131">
        <f>IF(Fin_Analysis!C108="Profit",Fin_Analysis!F100,IF(Fin_Analysis!C108="Dividend",Fin_Analysis!F103,Fin_Analysis!F106))</f>
        <v>3.5982315021649698</v>
      </c>
      <c r="G29" s="286">
        <f>IF(Fin_Analysis!C108="Profit",Fin_Analysis!I100,IF(Fin_Analysis!C108="Dividend",Fin_Analysis!I103,Fin_Analysis!I106))</f>
        <v>4.7855224277556694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1.1832950701880444E-2</v>
      </c>
      <c r="D40" s="156">
        <f t="shared" si="34"/>
        <v>1.2616354150524305E-2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0.19534620844359546</v>
      </c>
      <c r="D41" s="153">
        <f t="shared" si="35"/>
        <v>0.20611188594452193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</v>
      </c>
      <c r="D43" s="153">
        <f t="shared" si="37"/>
        <v>0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0.49757189674208302</v>
      </c>
      <c r="D45" s="153">
        <f t="shared" si="39"/>
        <v>0.42500025827780363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0.29524894411244107</v>
      </c>
      <c r="D46" s="153">
        <f t="shared" si="40"/>
        <v>0.35627150162715016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 t="str">
        <f t="shared" ref="C55:M55" si="47">IF(C22="","",IF(MAX(C17,0)&lt;=0,"-",C17/C22))</f>
        <v>-</v>
      </c>
      <c r="D55" s="153" t="str">
        <f t="shared" si="47"/>
        <v>-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102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92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120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152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0.23961604909928905</v>
      </c>
      <c r="D87" s="209"/>
      <c r="E87" s="262">
        <f>E86*Exchange_Rate/Dashboard!G3</f>
        <v>0.23961604909928905</v>
      </c>
      <c r="F87" s="209"/>
      <c r="H87" s="262">
        <f>H86*Exchange_Rate/Dashboard!G3</f>
        <v>0.23961604909928905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0.2364</v>
      </c>
      <c r="D88" s="166">
        <f>C88/C86</f>
        <v>0.27539007015754308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207</v>
      </c>
      <c r="C89" s="261">
        <f>C88*Exchange_Rate/Dashboard!G3</f>
        <v>6.5987880572326504E-2</v>
      </c>
      <c r="D89" s="209"/>
      <c r="E89" s="261">
        <f>E88*Exchange_Rate/Dashboard!G3</f>
        <v>8.3740965193307745E-2</v>
      </c>
      <c r="F89" s="209"/>
      <c r="H89" s="261">
        <f>H88*Exchange_Rate/Dashboard!G3</f>
        <v>8.3740965193307745E-2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40.547561959070379</v>
      </c>
      <c r="H93" s="87" t="s">
        <v>195</v>
      </c>
      <c r="I93" s="144">
        <f>FV(H87,D93,0,-(H86/(C93-D94)))*Exchange_Rate</f>
        <v>40.547561959070379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7.2373287941684312</v>
      </c>
      <c r="H94" s="87" t="s">
        <v>196</v>
      </c>
      <c r="I94" s="144">
        <f>FV(H89,D93,0,-(H88/(C93-D94)))*Exchange_Rate</f>
        <v>7.2373287941684312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5934653.1185616814</v>
      </c>
      <c r="D97" s="213"/>
      <c r="E97" s="123">
        <f>PV(C94,D93,0,-F93)</f>
        <v>20.159304479115743</v>
      </c>
      <c r="F97" s="213"/>
      <c r="H97" s="123">
        <f>PV(C94,D93,0,-I93)</f>
        <v>20.159304479115743</v>
      </c>
      <c r="I97" s="123">
        <f>PV(C93,D93,0,-I93)</f>
        <v>26.811172003446227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5934653.1185616814</v>
      </c>
      <c r="D100" s="109">
        <f>MIN(F100*(1-C94),E100)</f>
        <v>17.135408807248382</v>
      </c>
      <c r="E100" s="109">
        <f>MAX(E97+H98+E99,0)</f>
        <v>20.159304479115743</v>
      </c>
      <c r="F100" s="109">
        <f>(E100+H100)/2</f>
        <v>20.159304479115743</v>
      </c>
      <c r="H100" s="109">
        <f>MAX(C100*Data!$C$4/Common_Shares,0)</f>
        <v>20.159304479115743</v>
      </c>
      <c r="I100" s="109">
        <f>MAX(I97+H98+H99,0)</f>
        <v>26.811172003446227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1059275.4242961309</v>
      </c>
      <c r="D103" s="109">
        <f>MIN(F103*(1-C94),E103)</f>
        <v>3.058496776840224</v>
      </c>
      <c r="E103" s="123">
        <f>PV(C94,D93,0,-F94)</f>
        <v>3.5982315021649698</v>
      </c>
      <c r="F103" s="109">
        <f>(E103+H103)/2</f>
        <v>3.5982315021649698</v>
      </c>
      <c r="H103" s="123">
        <f>PV(C94,D93,0,-I94)</f>
        <v>3.5982315021649698</v>
      </c>
      <c r="I103" s="109">
        <f>PV(C93,D93,0,-I94)</f>
        <v>4.7855224277556694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3496964.2714289068</v>
      </c>
      <c r="D106" s="109">
        <f>(D100+D103)/2</f>
        <v>10.096952792044302</v>
      </c>
      <c r="E106" s="123">
        <f>(E100+E103)/2</f>
        <v>11.878767990640357</v>
      </c>
      <c r="F106" s="109">
        <f>(F100+F103)/2</f>
        <v>11.878767990640357</v>
      </c>
      <c r="H106" s="123">
        <f>(H100+H103)/2</f>
        <v>11.878767990640357</v>
      </c>
      <c r="I106" s="123">
        <f>(I100+I103)/2</f>
        <v>15.798347215600948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