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C113078-A8BB-47AA-A2CD-3886CFE8703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1" i="4"/>
  <c r="F94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34" i="2"/>
  <c r="C35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F97" i="4"/>
  <c r="F93" i="4"/>
  <c r="E92" i="4"/>
  <c r="F92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<sst xmlns="http://schemas.openxmlformats.org/spreadsheetml/2006/main" count="389" uniqueCount="271">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</sst>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229</v>
      </c>
    </row>
    <row r="10" spans="1:5" ht="13.9" x14ac:dyDescent="0.4">
      <c r="B10" s="140" t="s">
        <v>203</v>
      </c>
      <c r="C10" s="193">
        <v>168366700</v>
      </c>
    </row>
    <row r="11" spans="1:5" ht="13.9" x14ac:dyDescent="0.4">
      <c r="B11" s="140" t="s">
        <v>204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176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230</v>
      </c>
      <c r="D17" s="24"/>
    </row>
    <row r="18" spans="2:13" ht="13.9" x14ac:dyDescent="0.4">
      <c r="B18" s="240" t="s">
        <v>224</v>
      </c>
      <c r="C18" s="242" t="s">
        <v>230</v>
      </c>
      <c r="D18" s="24"/>
    </row>
    <row r="19" spans="2:13" ht="13.9" x14ac:dyDescent="0.4">
      <c r="B19" s="240" t="s">
        <v>225</v>
      </c>
      <c r="C19" s="242" t="s">
        <v>230</v>
      </c>
      <c r="D19" s="24"/>
    </row>
    <row r="20" spans="2:13" ht="13.9" x14ac:dyDescent="0.4">
      <c r="B20" s="241" t="s">
        <v>214</v>
      </c>
      <c r="C20" s="242" t="s">
        <v>230</v>
      </c>
      <c r="D20" s="24"/>
    </row>
    <row r="21" spans="2:13" ht="13.9" x14ac:dyDescent="0.4">
      <c r="B21" s="224" t="s">
        <v>217</v>
      </c>
      <c r="C21" s="242" t="s">
        <v>230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269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102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232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240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193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6181.HK</v>
      </c>
      <c r="D3" s="290"/>
      <c r="E3" s="87"/>
      <c r="F3" s="3" t="s">
        <v>1</v>
      </c>
      <c r="G3" s="132">
        <v>235</v>
      </c>
      <c r="H3" s="134" t="s">
        <v>270</v>
      </c>
    </row>
    <row r="4" spans="1:10" ht="15.75" customHeight="1" x14ac:dyDescent="0.4">
      <c r="B4" s="35" t="s">
        <v>181</v>
      </c>
      <c r="C4" s="291" t="str">
        <f>Inputs!C5</f>
        <v>老鋪黃金</v>
      </c>
      <c r="D4" s="292"/>
      <c r="E4" s="87"/>
      <c r="F4" s="3" t="s">
        <v>2</v>
      </c>
      <c r="G4" s="295">
        <f>Inputs!C10</f>
        <v>168366700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45593</v>
      </c>
      <c r="D5" s="294"/>
      <c r="E5" s="34"/>
      <c r="F5" s="35" t="s">
        <v>96</v>
      </c>
      <c r="G5" s="287">
        <f>G3*G4/1000000</f>
        <v>39566.174500000001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HK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0.18062822449870486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5.7183940942846252E-3</v>
      </c>
      <c r="F24" s="140" t="s">
        <v>243</v>
      </c>
      <c r="G24" s="268">
        <f>G3/(Fin_Analysis!H86*G7)</f>
        <v>88.728987829452052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0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179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86">
        <f>IF(Fin_Analysis!C108="Profit",Fin_Analysis!I100,IF(Fin_Analysis!C108="Dividend",Fin_Analysis!I103,Fin_Analysis!I106))</f>
        <v>0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e">
        <f>IF(E6="","",E14/MAX(E37,0))</f>
        <v>#DIV/0!</v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0.58108816177312361</v>
      </c>
      <c r="D40" s="156">
        <f t="shared" si="34"/>
        <v>0.58110831234256932</v>
      </c>
      <c r="E40" s="156">
        <f t="shared" si="34"/>
        <v>0.58801220620226269</v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0.23828361372817153</v>
      </c>
      <c r="D41" s="153">
        <f t="shared" si="35"/>
        <v>0.3089266121679467</v>
      </c>
      <c r="E41" s="153">
        <f t="shared" si="35"/>
        <v>0.28464822556960562</v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>
        <f t="shared" si="36"/>
        <v>0</v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5.7183940942846252E-3</v>
      </c>
      <c r="D43" s="153">
        <f t="shared" si="37"/>
        <v>1.311446276521766E-2</v>
      </c>
      <c r="E43" s="153">
        <f t="shared" si="37"/>
        <v>9.2289833252016638E-3</v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0</v>
      </c>
      <c r="D44" s="153">
        <f t="shared" si="38"/>
        <v>0</v>
      </c>
      <c r="E44" s="153">
        <f t="shared" si="38"/>
        <v>0</v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>
        <f t="shared" si="39"/>
        <v>0</v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0.17490983040442024</v>
      </c>
      <c r="D46" s="153">
        <f t="shared" si="40"/>
        <v>9.6850612724266358E-2</v>
      </c>
      <c r="E46" s="153">
        <f t="shared" si="40"/>
        <v>0.11811058490293001</v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e">
        <f t="shared" si="41"/>
        <v>#VALUE!</v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e">
        <f t="shared" si="44"/>
        <v>#VALUE!</v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3.2693383105242051E-2</v>
      </c>
      <c r="D55" s="153">
        <f t="shared" si="47"/>
        <v>0.13540918736936161</v>
      </c>
      <c r="E55" s="153">
        <f t="shared" si="47"/>
        <v>7.8138494807951098E-2</v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e">
        <f t="shared" si="49"/>
        <v>#VALUE!</v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e">
        <f t="shared" si="50"/>
        <v>#VALUE!</v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102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92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161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218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152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1.1270273948375497E-2</v>
      </c>
      <c r="D87" s="209"/>
      <c r="E87" s="262">
        <f>E86*Exchange_Rate/Dashboard!G3</f>
        <v>1.1270273948375497E-2</v>
      </c>
      <c r="F87" s="209"/>
      <c r="H87" s="262">
        <f>H86*Exchange_Rate/Dashboard!G3</f>
        <v>1.1270273948375497E-2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207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195</v>
      </c>
      <c r="F93" s="144">
        <f>FV(E87,D93,0,-(E86/(C93-D94)))*Exchange_Rate</f>
        <v>46.204767636694726</v>
      </c>
      <c r="H93" s="87" t="s">
        <v>195</v>
      </c>
      <c r="I93" s="144">
        <f>FV(H87,D93,0,-(H86/(C93-D94)))*Exchange_Rate</f>
        <v>46.204767636694726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0</v>
      </c>
      <c r="H94" s="87" t="s">
        <v>196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3867708.9776015193</v>
      </c>
      <c r="D97" s="213"/>
      <c r="E97" s="123">
        <f>PV(C94,D93,0,-F93)</f>
        <v>22.971935528827963</v>
      </c>
      <c r="F97" s="213"/>
      <c r="H97" s="123">
        <f>PV(C94,D93,0,-I93)</f>
        <v>22.971935528827963</v>
      </c>
      <c r="I97" s="123">
        <f>PV(C93,D93,0,-I93)</f>
        <v>31.355356103603334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3867708.9776015193</v>
      </c>
      <c r="D100" s="109">
        <f>MIN(F100*(1-C94),E100)</f>
        <v>19.52614519950377</v>
      </c>
      <c r="E100" s="109">
        <f>MAX(E97+H98+E99,0)</f>
        <v>22.971935528827963</v>
      </c>
      <c r="F100" s="109">
        <f>(E100+H100)/2</f>
        <v>22.971935528827963</v>
      </c>
      <c r="H100" s="109">
        <f>MAX(C100*Data!$C$4/Common_Shares,0)</f>
        <v>22.971935528827963</v>
      </c>
      <c r="I100" s="109">
        <f>MAX(I97+H98+H99,0)</f>
        <v>31.355356103603334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1933854.4888007597</v>
      </c>
      <c r="D106" s="109">
        <f>(D100+D103)/2</f>
        <v>9.7630725997518848</v>
      </c>
      <c r="E106" s="123">
        <f>(E100+E103)/2</f>
        <v>11.485967764413981</v>
      </c>
      <c r="F106" s="109">
        <f>(F100+F103)/2</f>
        <v>11.485967764413981</v>
      </c>
      <c r="H106" s="123">
        <f>(H100+H103)/2</f>
        <v>11.485967764413981</v>
      </c>
      <c r="I106" s="123">
        <f>(I100+I103)/2</f>
        <v>15.677678051801667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