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635F4A-B106-4FF1-845A-71A8E7E260C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F92" i="4"/>
  <c r="F93" i="4"/>
  <c r="D53" i="4"/>
  <c r="D27" i="2"/>
  <c r="D37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<sst xmlns="http://schemas.openxmlformats.org/spreadsheetml/2006/main" count="389" uniqueCount="274">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</sst>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9067251704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271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272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5.6848016273446454E-2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19073030</v>
      </c>
      <c r="D48" s="60">
        <v>0.9</v>
      </c>
      <c r="E48" s="112"/>
    </row>
    <row r="49" spans="2:5" ht="13.9" x14ac:dyDescent="0.4">
      <c r="B49" s="1" t="s">
        <v>130</v>
      </c>
      <c r="C49" s="59">
        <v>20972</v>
      </c>
      <c r="D49" s="60">
        <v>0.8</v>
      </c>
      <c r="E49" s="112"/>
    </row>
    <row r="50" spans="2:5" ht="13.9" x14ac:dyDescent="0.4">
      <c r="B50" s="3" t="s">
        <v>112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>
        <v>854264</v>
      </c>
      <c r="D54" s="60">
        <v>0.1</v>
      </c>
      <c r="E54" s="112"/>
    </row>
    <row r="55" spans="2:5" ht="13.9" x14ac:dyDescent="0.4">
      <c r="B55" s="3" t="s">
        <v>43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113569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45190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15244</v>
      </c>
      <c r="D70" s="60">
        <v>0.05</v>
      </c>
      <c r="E70" s="112"/>
    </row>
    <row r="71" spans="2:5" ht="13.9" x14ac:dyDescent="0.4">
      <c r="B71" s="3" t="s">
        <v>71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112402</v>
      </c>
      <c r="D72" s="248">
        <v>0</v>
      </c>
      <c r="E72" s="249"/>
    </row>
    <row r="73" spans="2:5" ht="13.9" x14ac:dyDescent="0.4">
      <c r="B73" s="3" t="s">
        <v>35</v>
      </c>
      <c r="C73" s="59">
        <v>510909</v>
      </c>
    </row>
    <row r="74" spans="2:5" ht="13.9" x14ac:dyDescent="0.4">
      <c r="B74" s="3" t="s">
        <v>36</v>
      </c>
      <c r="C74" s="59">
        <v>28807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58</v>
      </c>
      <c r="C78" s="59">
        <v>756896</v>
      </c>
    </row>
    <row r="79" spans="2:5" ht="13.9" x14ac:dyDescent="0.4">
      <c r="B79" s="3" t="s">
        <v>60</v>
      </c>
      <c r="C79" s="59">
        <v>52067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1852861</v>
      </c>
    </row>
    <row r="83" spans="2:8" ht="14.25" thickTop="1" x14ac:dyDescent="0.4">
      <c r="B83" s="73" t="s">
        <v>206</v>
      </c>
      <c r="C83" s="59">
        <v>25617273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102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231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240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6186.HK</v>
      </c>
      <c r="D3" s="290"/>
      <c r="E3" s="87"/>
      <c r="F3" s="3" t="s">
        <v>1</v>
      </c>
      <c r="G3" s="132">
        <v>5.86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中国飞鹤</v>
      </c>
      <c r="D4" s="292"/>
      <c r="E4" s="87"/>
      <c r="F4" s="3" t="s">
        <v>2</v>
      </c>
      <c r="G4" s="295">
        <f>Inputs!C10</f>
        <v>9067251704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53134.094985440002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0.20946817929344683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2.7202256703967287E-3</v>
      </c>
      <c r="F24" s="140" t="s">
        <v>243</v>
      </c>
      <c r="G24" s="268">
        <f>G3/(Fin_Analysis!H86*G7)</f>
        <v>16.40983045518141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0.93286630876064991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5.6848016273446454E-2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308472</v>
      </c>
      <c r="D28" s="199">
        <f>IF(Inputs!D35="","",Inputs!D35)</f>
        <v>431184</v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2139247</v>
      </c>
      <c r="D29" s="199">
        <f>IF(Inputs!D36="","",Inputs!D36)</f>
        <v>2258059</v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>
        <f>IF(Inputs!D37="","",Inputs!D37)</f>
        <v>7382230</v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549384</v>
      </c>
      <c r="D31" s="199">
        <f>IF(Inputs!D39="","",Inputs!D39)</f>
        <v>592316</v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808963</v>
      </c>
      <c r="D32" s="199">
        <f>IF(Inputs!D40="","",Inputs!D40)</f>
        <v>1044096</v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1358347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26334346</v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1389487</v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>
        <f>IF(Inputs!D43="","",Inputs!D43)</f>
        <v>19968596</v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16075596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0.25450844870697176</v>
      </c>
      <c r="D38" s="155">
        <f>IF(D6="","",D14/MAX(D37,0))</f>
        <v>0.41656197249826282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0.35166796085418528</v>
      </c>
      <c r="D40" s="156">
        <f t="shared" si="34"/>
        <v>0.34537826194657922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0.43886385985236792</v>
      </c>
      <c r="D41" s="153">
        <f t="shared" si="35"/>
        <v>0.3855127788163944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3.8846727170509146E-2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2.7202256703967287E-3</v>
      </c>
      <c r="D43" s="153">
        <f t="shared" si="37"/>
        <v>1.5785324837725313E-3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3.7902298005128792E-4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0.2067479536230501</v>
      </c>
      <c r="D46" s="153">
        <f t="shared" si="40"/>
        <v>0.22830467660269341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>
        <f t="shared" si="41"/>
        <v>0.63206100761832995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1.5792995802879992E-2</v>
      </c>
      <c r="D49" s="153">
        <f t="shared" si="42"/>
        <v>2.0232994960849439E-2</v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0.1095241023247608</v>
      </c>
      <c r="D50" s="153">
        <f t="shared" si="43"/>
        <v>0.10595777294217949</v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>
        <f t="shared" ref="C51:M51" si="44">IF(D6="","",C16/(C6-D6))</f>
        <v>0.18998161609687811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2.9729097204175368</v>
      </c>
      <c r="D54" s="157">
        <f t="shared" si="46"/>
        <v>2.9732033660634771</v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1.3157207230966536E-2</v>
      </c>
      <c r="D55" s="153">
        <f t="shared" si="47"/>
        <v>6.9141487036622033E-3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>
        <f t="shared" si="49"/>
        <v>0.22958180147126375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>
        <f t="shared" si="50"/>
        <v>0.19504562710363152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25617273</v>
      </c>
      <c r="K3" s="24"/>
    </row>
    <row r="4" spans="1:11" ht="15" customHeight="1" x14ac:dyDescent="0.4">
      <c r="B4" s="3" t="s">
        <v>23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3.3364014362803656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35</v>
      </c>
      <c r="I11" s="40">
        <f>Inputs!C73</f>
        <v>510909</v>
      </c>
      <c r="J11" s="87"/>
      <c r="K11" s="24"/>
    </row>
    <row r="12" spans="1:11" ht="13.9" x14ac:dyDescent="0.4">
      <c r="B12" s="1" t="s">
        <v>130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36</v>
      </c>
      <c r="I12" s="40">
        <f>Inputs!C74</f>
        <v>28807</v>
      </c>
      <c r="J12" s="87"/>
      <c r="K12" s="24"/>
    </row>
    <row r="13" spans="1:11" ht="13.9" x14ac:dyDescent="0.4">
      <c r="B13" s="3" t="s">
        <v>112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549384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51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52</v>
      </c>
      <c r="I25" s="63">
        <f>E28/I28</f>
        <v>2.7593765144056333</v>
      </c>
    </row>
    <row r="26" spans="2:10" ht="15" customHeight="1" x14ac:dyDescent="0.4">
      <c r="B26" s="23" t="s">
        <v>53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54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756896</v>
      </c>
      <c r="J30" s="87"/>
    </row>
    <row r="31" spans="2:10" ht="15" customHeight="1" x14ac:dyDescent="0.4">
      <c r="B31" s="3" t="s">
        <v>59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60</v>
      </c>
      <c r="I31" s="40">
        <f>Inputs!C79</f>
        <v>52067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808963</v>
      </c>
      <c r="J34" s="87"/>
    </row>
    <row r="35" spans="2:10" ht="13.9" x14ac:dyDescent="0.4">
      <c r="B35" s="3" t="s">
        <v>66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77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79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81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82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1426434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1358347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102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92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152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6.0939081773648048E-2</v>
      </c>
      <c r="D87" s="209"/>
      <c r="E87" s="262">
        <f>E86*Exchange_Rate/Dashboard!G3</f>
        <v>6.0939081773648048E-2</v>
      </c>
      <c r="F87" s="209"/>
      <c r="H87" s="262">
        <f>H86*Exchange_Rate/Dashboard!G3</f>
        <v>6.0939081773648048E-2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207</v>
      </c>
      <c r="C89" s="261">
        <f>C88*Exchange_Rate/Dashboard!G3</f>
        <v>5.6848016273446454E-2</v>
      </c>
      <c r="D89" s="209"/>
      <c r="E89" s="261">
        <f>E88*Exchange_Rate/Dashboard!G3</f>
        <v>5.6848016273446454E-2</v>
      </c>
      <c r="F89" s="209"/>
      <c r="H89" s="261">
        <f>H88*Exchange_Rate/Dashboard!G3</f>
        <v>5.6848016273446454E-2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7.2453584864331733</v>
      </c>
      <c r="H93" s="87" t="s">
        <v>195</v>
      </c>
      <c r="I93" s="144">
        <f>FV(H87,D93,0,-(H86/(C93-D94)))*Exchange_Rate</f>
        <v>7.2453584864331733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6.6296367105523846</v>
      </c>
      <c r="H94" s="87" t="s">
        <v>196</v>
      </c>
      <c r="I94" s="144">
        <f>FV(H89,D93,0,-(H88/(C93-D94)))*Exchange_Rate</f>
        <v>6.6296367105523846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32662268.785713661</v>
      </c>
      <c r="D97" s="213"/>
      <c r="E97" s="123">
        <f>PV(C94,D93,0,-F93)</f>
        <v>3.6022236783506041</v>
      </c>
      <c r="F97" s="213"/>
      <c r="H97" s="123">
        <f>PV(C94,D93,0,-I93)</f>
        <v>3.6022236783506041</v>
      </c>
      <c r="I97" s="123">
        <f>PV(C93,D93,0,-I93)</f>
        <v>4.7908318828756107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12222566.281051708</v>
      </c>
      <c r="D99" s="214"/>
      <c r="E99" s="145">
        <f>IF(H99&gt;0,H99*(1-C94),H99*(1+C94))</f>
        <v>1.1457916552940495</v>
      </c>
      <c r="F99" s="214"/>
      <c r="H99" s="145">
        <f>C99*Data!$C$4/Common_Shares</f>
        <v>1.3479901826988818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29886578.641645215</v>
      </c>
      <c r="D103" s="109">
        <f>MIN(F103*(1-C94),E103)</f>
        <v>2.8016859655712092</v>
      </c>
      <c r="E103" s="123">
        <f>PV(C94,D93,0,-F94)</f>
        <v>3.2961011359661283</v>
      </c>
      <c r="F103" s="109">
        <f>(E103+H103)/2</f>
        <v>3.2961011359661283</v>
      </c>
      <c r="H103" s="123">
        <f>PV(C94,D93,0,-I94)</f>
        <v>3.2961011359661283</v>
      </c>
      <c r="I103" s="109">
        <f>PV(C93,D93,0,-I94)</f>
        <v>4.3836995759795521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