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B571390-B1D7-46DF-98B5-9BB732925FDD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1" i="4"/>
  <c r="F94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34" i="2"/>
  <c r="C35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30" i="2"/>
  <c r="J27" i="2"/>
  <c r="B37" i="4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K33" i="2" s="1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F96" i="4" l="1"/>
  <c r="E92" i="4"/>
  <c r="F97" i="4"/>
  <c r="F92" i="4"/>
  <c r="F93" i="4"/>
  <c r="D53" i="4"/>
  <c r="D27" i="2"/>
  <c r="D37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C58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C59" i="2" s="1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D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E3" i="3" l="1"/>
  <c r="B41" i="4"/>
  <c r="F81" i="3"/>
  <c r="E81" i="3" s="1"/>
  <c r="H99" i="3"/>
  <c r="C70" i="3"/>
  <c r="D70" i="3" s="1"/>
  <c r="D49" i="3"/>
  <c r="D68" i="3"/>
  <c r="D4" i="3"/>
  <c r="J28" i="3"/>
  <c r="C53" i="3" l="1"/>
  <c r="C53" i="2"/>
  <c r="C21" i="1" s="1"/>
  <c r="E99" i="3"/>
  <c r="G23" i="1"/>
  <c r="C48" i="2"/>
  <c r="E53" i="3" l="1"/>
  <c r="D6" i="3" s="1"/>
  <c r="C22" i="1"/>
  <c r="C20" i="1" s="1"/>
  <c r="C57" i="2"/>
  <c r="C98" i="3" l="1"/>
  <c r="H98" i="3" s="1"/>
  <c r="D95" i="4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D106" i="3"/>
  <c r="C29" i="1" s="1"/>
</calcChain>
</file>

<file path=xl/sharedStrings.xml><?xml version="1.0" encoding="utf-8"?>
<sst xmlns="http://schemas.openxmlformats.org/spreadsheetml/2006/main" count="389" uniqueCount="273">
  <si>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</si>
  <si>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</si>
  <si>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</si>
  <si>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</si>
  <si>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</si>
  <si>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</si>
  <si>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</si>
  <si>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</si>
  <si>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</si>
  <si>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</si>
  <si>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</si>
  <si>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</si>
  <si>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</si>
  <si>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</si>
  <si>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</si>
  <si>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</si>
  <si>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</si>
  <si>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</si>
  <si>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</si>
  <si>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</si>
  <si>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</si>
  <si>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</si>
  <si>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</si>
  <si>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</si>
  <si>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</si>
  <si>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</si>
  <si>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</si>
  <si>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</si>
  <si>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</si>
  <si>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</si>
  <si>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</si>
  <si>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</si>
  <si>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</si>
  <si>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</si>
  <si>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</si>
  <si>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</si>
  <si>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</si>
  <si>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</si>
  <si>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</si>
  <si>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</si>
  <si>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</si>
  <si>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</si>
  <si>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</si>
  <si>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</si>
  <si>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</si>
  <si>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</si>
  <si>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</si>
  <si>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</si>
  <si>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</si>
  <si>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</si>
  <si>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</si>
  <si>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</si>
  <si>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</si>
  <si>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</si>
  <si>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</si>
  <si>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</si>
  <si>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</si>
  <si>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</si>
  <si>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</si>
  <si>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</si>
  <si>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</si>
  <si>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</si>
  <si>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</si>
  <si>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</si>
  <si>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</si>
  <si>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</si>
  <si>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</si>
  <si>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</si>
  <si>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</si>
  <si>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</si>
  <si>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</si>
  <si>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</si>
  <si>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</si>
  <si>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</si>
  <si>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</si>
  <si>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</si>
  <si>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</si>
  <si>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</si>
  <si>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</si>
  <si>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</si>
  <si>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</si>
  <si>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</si>
  <si>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</si>
  <si>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</si>
  <si>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</si>
  <si>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</si>
  <si>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</si>
  <si>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</si>
  <si>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</si>
  <si>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</si>
  <si>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</si>
  <si>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</si>
  <si>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</si>
  <si>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</si>
  <si>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</si>
  <si>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</si>
  <si>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</si>
  <si>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</si>
  <si>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</si>
  <si>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</si>
  <si>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</si>
  <si>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</si>
  <si>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</si>
  <si>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</si>
  <si>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</si>
  <si>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</si>
  <si>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</si>
  <si>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</si>
  <si>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</si>
  <si>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</si>
  <si>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</si>
  <si>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</si>
  <si>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</si>
  <si>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</si>
  <si>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</si>
  <si>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</si>
  <si>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</si>
  <si>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</si>
  <si>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</si>
  <si>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</si>
  <si>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</si>
  <si>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</si>
  <si>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</si>
  <si>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</si>
  <si>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</si>
  <si>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</si>
  <si>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</si>
  <si>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</si>
  <si>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</si>
  <si>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</si>
  <si>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</si>
  <si>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</si>
  <si>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</si>
  <si>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</si>
  <si>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</si>
  <si>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</si>
  <si>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</si>
  <si>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</si>
  <si>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</si>
  <si>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</si>
  <si>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</si>
  <si>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</si>
  <si>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</si>
  <si>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</si>
  <si>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</si>
  <si>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</si>
  <si>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</si>
  <si>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</si>
  <si>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</si>
  <si>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</si>
  <si>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</si>
  <si>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</si>
  <si>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</si>
  <si>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</si>
  <si>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</si>
  <si>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</si>
  <si>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</si>
  <si>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</si>
  <si>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</si>
  <si>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</si>
  <si>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</si>
  <si>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</si>
  <si>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</si>
  <si>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</si>
  <si>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</si>
  <si>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</si>
  <si>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</si>
  <si>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</si>
  <si>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</si>
  <si>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</si>
  <si>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</si>
  <si>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</si>
  <si>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</si>
  <si>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</si>
  <si>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</si>
  <si>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</si>
  <si>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</si>
  <si>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</si>
  <si>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</si>
  <si>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</si>
  <si>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</si>
  <si>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</si>
  <si>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</si>
  <si>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</si>
  <si>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</si>
  <si>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</si>
  <si>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</si>
  <si>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</si>
  <si>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</si>
  <si>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</si>
  <si>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</si>
  <si>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</si>
  <si>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</si>
  <si>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</si>
  <si>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</si>
  <si>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</si>
  <si>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</si>
  <si>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</si>
  <si>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</si>
  <si>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</si>
  <si>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</si>
  <si>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</si>
  <si>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</si>
  <si>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</si>
  <si>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</si>
  <si>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</si>
  <si>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</si>
  <si>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</si>
  <si>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</si>
  <si>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</si>
  <si>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</si>
  <si>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</si>
  <si>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</si>
  <si>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</si>
  <si>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</si>
  <si>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</si>
  <si>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</si>
  <si>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</si>
  <si>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</si>
  <si>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</si>
  <si>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</si>
  <si>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</si>
  <si>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</si>
  <si>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</si>
  <si>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</si>
  <si>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</si>
  <si>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</si>
  <si>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</si>
  <si>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</si>
  <si>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</si>
  <si>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</si>
  <si>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</si>
  <si>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</si>
  <si>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</si>
  <si>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</si>
  <si>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</si>
  <si>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</si>
  <si>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</si>
  <si>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</si>
  <si>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</si>
  <si>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</si>
  <si>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</si>
  <si>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</si>
  <si>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</si>
  <si>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</si>
  <si>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</si>
  <si>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</si>
  <si>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</si>
  <si>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</si>
  <si>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</si>
  <si>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</si>
  <si>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</si>
  <si>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</si>
  <si>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</si>
  <si>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</si>
  <si>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</si>
  <si>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</si>
  <si>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</si>
  <si>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</si>
  <si>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</si>
  <si>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</si>
  <si>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</si>
  <si>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</si>
  <si>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</si>
  <si>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</si>
  <si>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</si>
  <si>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6601.HK</t>
  </si>
  <si>
    <t>朝云集团</t>
  </si>
  <si>
    <t>Tier 3</t>
  </si>
  <si>
    <t>C0007</t>
  </si>
  <si>
    <t>CNY</t>
  </si>
  <si>
    <t>Avg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</si>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</sst>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1" t="s">
        <v>180</v>
      </c>
      <c r="C4" s="188" t="s">
        <v>266</v>
      </c>
    </row>
    <row r="5" spans="1:5" ht="13.9" x14ac:dyDescent="0.4">
      <c r="B5" s="141" t="s">
        <v>181</v>
      </c>
      <c r="C5" s="191" t="s">
        <v>267</v>
      </c>
    </row>
    <row r="6" spans="1:5" ht="13.9" x14ac:dyDescent="0.4">
      <c r="B6" s="141" t="s">
        <v>155</v>
      </c>
      <c r="C6" s="189">
        <v>45593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201</v>
      </c>
      <c r="C8" s="191" t="s">
        <v>268</v>
      </c>
      <c r="E8" s="267"/>
    </row>
    <row r="9" spans="1:5" ht="13.9" x14ac:dyDescent="0.4">
      <c r="B9" s="140" t="s">
        <v>202</v>
      </c>
      <c r="C9" s="192" t="s">
        <v>269</v>
      </c>
    </row>
    <row r="10" spans="1:5" ht="13.9" x14ac:dyDescent="0.4">
      <c r="B10" s="140" t="s">
        <v>203</v>
      </c>
      <c r="C10" s="193">
        <v>1333333500</v>
      </c>
    </row>
    <row r="11" spans="1:5" ht="13.9" x14ac:dyDescent="0.4">
      <c r="B11" s="140" t="s">
        <v>204</v>
      </c>
      <c r="C11" s="192" t="s">
        <v>270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205</v>
      </c>
      <c r="C14" s="219">
        <v>45473</v>
      </c>
    </row>
    <row r="15" spans="1:5" ht="13.9" x14ac:dyDescent="0.4">
      <c r="B15" s="218" t="s">
        <v>238</v>
      </c>
      <c r="C15" s="176" t="s">
        <v>243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210</v>
      </c>
      <c r="C17" s="242" t="s">
        <v>229</v>
      </c>
      <c r="D17" s="24"/>
    </row>
    <row r="18" spans="2:13" ht="13.9" x14ac:dyDescent="0.4">
      <c r="B18" s="240" t="s">
        <v>224</v>
      </c>
      <c r="C18" s="242" t="s">
        <v>229</v>
      </c>
      <c r="D18" s="24"/>
    </row>
    <row r="19" spans="2:13" ht="13.9" x14ac:dyDescent="0.4">
      <c r="B19" s="240" t="s">
        <v>225</v>
      </c>
      <c r="C19" s="242" t="s">
        <v>229</v>
      </c>
      <c r="D19" s="24"/>
    </row>
    <row r="20" spans="2:13" ht="13.9" x14ac:dyDescent="0.4">
      <c r="B20" s="241" t="s">
        <v>214</v>
      </c>
      <c r="C20" s="242" t="s">
        <v>229</v>
      </c>
      <c r="D20" s="24"/>
    </row>
    <row r="21" spans="2:13" ht="13.9" x14ac:dyDescent="0.4">
      <c r="B21" s="224" t="s">
        <v>217</v>
      </c>
      <c r="C21" s="242" t="s">
        <v>229</v>
      </c>
      <c r="D21" s="24"/>
    </row>
    <row r="22" spans="2:13" ht="78.75" x14ac:dyDescent="0.4">
      <c r="B22" s="226" t="s">
        <v>216</v>
      </c>
      <c r="C22" s="243" t="s">
        <v>241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1615585</v>
      </c>
      <c r="D25" s="149">
        <v>1446638</v>
      </c>
      <c r="E25" s="149">
        <v>1769157</v>
      </c>
      <c r="F25" s="149">
        <v>1702154</v>
      </c>
      <c r="G25" s="149">
        <v>1383402</v>
      </c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897327</v>
      </c>
      <c r="D26" s="150">
        <v>845264</v>
      </c>
      <c r="E26" s="150">
        <v>981731</v>
      </c>
      <c r="F26" s="150">
        <v>959572</v>
      </c>
      <c r="G26" s="150">
        <v>783542</v>
      </c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v>613104</v>
      </c>
      <c r="D27" s="150">
        <v>599182</v>
      </c>
      <c r="E27" s="150">
        <v>705390</v>
      </c>
      <c r="F27" s="150">
        <v>456610</v>
      </c>
      <c r="G27" s="150">
        <v>396643</v>
      </c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239</v>
      </c>
      <c r="C29" s="150">
        <v>1003</v>
      </c>
      <c r="D29" s="150">
        <v>863</v>
      </c>
      <c r="E29" s="150">
        <v>1613</v>
      </c>
      <c r="F29" s="150">
        <v>2645</v>
      </c>
      <c r="G29" s="150">
        <v>299</v>
      </c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v>2199</v>
      </c>
      <c r="D30" s="150">
        <v>645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>
        <v>-169280</v>
      </c>
      <c r="D31" s="150">
        <v>-50846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>
        <v>35974</v>
      </c>
      <c r="D32" s="150">
        <v>32106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>
        <v>15312</v>
      </c>
      <c r="D33" s="150">
        <v>11600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hidden="1" x14ac:dyDescent="0.4">
      <c r="B34" s="97" t="s">
        <v>265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112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141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tr">
        <f>"Total Liabilities"&amp;IF(C77+C82=0,"",IF(C37=C77+C82,""," Error"))</f>
        <v>Total Liabilities Error</v>
      </c>
      <c r="C37" s="150"/>
      <c r="D37" s="150">
        <v>734909</v>
      </c>
      <c r="E37" s="150">
        <v>677999</v>
      </c>
      <c r="F37" s="150">
        <v>1352795</v>
      </c>
      <c r="G37" s="150">
        <v>1205068</v>
      </c>
      <c r="H37" s="150"/>
      <c r="I37" s="150"/>
      <c r="J37" s="150"/>
      <c r="K37" s="150"/>
      <c r="L37" s="150"/>
      <c r="M37" s="150"/>
    </row>
    <row r="38" spans="2:13" ht="13.9" hidden="1" x14ac:dyDescent="0.4">
      <c r="B38" s="94" t="s">
        <v>264</v>
      </c>
      <c r="C38" s="217"/>
      <c r="D38" s="150">
        <v>18682</v>
      </c>
      <c r="E38" s="150">
        <v>61277</v>
      </c>
      <c r="F38" s="150">
        <v>51229</v>
      </c>
      <c r="G38" s="150">
        <v>23195</v>
      </c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>
        <v>6202</v>
      </c>
      <c r="E39" s="150">
        <v>5517</v>
      </c>
      <c r="F39" s="150">
        <v>301783</v>
      </c>
      <c r="G39" s="150">
        <v>3225</v>
      </c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>
        <v>10412</v>
      </c>
      <c r="E40" s="150">
        <v>9392</v>
      </c>
      <c r="F40" s="150">
        <v>5096</v>
      </c>
      <c r="G40" s="150">
        <v>6880</v>
      </c>
      <c r="H40" s="150"/>
      <c r="I40" s="150"/>
      <c r="J40" s="150"/>
      <c r="K40" s="150"/>
      <c r="L40" s="150"/>
      <c r="M40" s="150"/>
    </row>
    <row r="41" spans="2:13" ht="13.9" x14ac:dyDescent="0.4">
      <c r="B41" s="94" t="str">
        <f>"Total Equity"&amp;IF(C83="","",IF(C41=Fin_Analysis!D3,""," Error"))</f>
        <v>Total Equity Error</v>
      </c>
      <c r="C41" s="150"/>
      <c r="D41" s="150">
        <v>2824568</v>
      </c>
      <c r="E41" s="150">
        <v>2735259</v>
      </c>
      <c r="F41" s="150">
        <v>250534</v>
      </c>
      <c r="G41" s="150">
        <v>13930</v>
      </c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133</v>
      </c>
      <c r="C42" s="150"/>
      <c r="D42" s="150">
        <v>7297</v>
      </c>
      <c r="E42" s="150">
        <v>1498</v>
      </c>
      <c r="F42" s="150">
        <v>2853</v>
      </c>
      <c r="G42" s="150">
        <v>696</v>
      </c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131</v>
      </c>
      <c r="C43" s="217"/>
      <c r="D43" s="150">
        <v>2868641</v>
      </c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193</v>
      </c>
      <c r="C44" s="250">
        <v>0.1178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235</v>
      </c>
      <c r="C45" s="152">
        <f>IF(C44="","",C44*Exchange_Rate/Dashboard!$G$3)</f>
        <v>6.5936729895506849E-2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233</v>
      </c>
      <c r="C47" s="194" t="s">
        <v>30</v>
      </c>
      <c r="D47" s="194" t="s">
        <v>182</v>
      </c>
      <c r="E47" s="111" t="s">
        <v>32</v>
      </c>
    </row>
    <row r="48" spans="2:13" ht="13.9" x14ac:dyDescent="0.4">
      <c r="B48" s="3" t="s">
        <v>34</v>
      </c>
      <c r="C48" s="59">
        <v>2385307</v>
      </c>
      <c r="D48" s="60">
        <v>0.9</v>
      </c>
      <c r="E48" s="112"/>
    </row>
    <row r="49" spans="2:5" ht="13.9" x14ac:dyDescent="0.4">
      <c r="B49" s="1" t="s">
        <v>130</v>
      </c>
      <c r="C49" s="59">
        <v>0</v>
      </c>
      <c r="D49" s="60">
        <v>0.8</v>
      </c>
      <c r="E49" s="112"/>
    </row>
    <row r="50" spans="2:5" ht="13.9" x14ac:dyDescent="0.4">
      <c r="B50" s="3" t="s">
        <v>112</v>
      </c>
      <c r="C50" s="59">
        <v>180994</v>
      </c>
      <c r="D50" s="60">
        <f>D51</f>
        <v>0.6</v>
      </c>
      <c r="E50" s="112"/>
    </row>
    <row r="51" spans="2:5" ht="13.9" x14ac:dyDescent="0.4">
      <c r="B51" s="3" t="s">
        <v>38</v>
      </c>
      <c r="C51" s="59">
        <v>0</v>
      </c>
      <c r="D51" s="60">
        <v>0.6</v>
      </c>
      <c r="E51" s="112"/>
    </row>
    <row r="52" spans="2:5" ht="13.9" x14ac:dyDescent="0.4">
      <c r="B52" s="3" t="s">
        <v>40</v>
      </c>
      <c r="C52" s="59">
        <v>253051</v>
      </c>
      <c r="D52" s="60">
        <v>0.5</v>
      </c>
      <c r="E52" s="112"/>
    </row>
    <row r="53" spans="2:5" ht="13.9" x14ac:dyDescent="0.4">
      <c r="B53" s="1" t="s">
        <v>150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245</v>
      </c>
      <c r="C54" s="59">
        <v>0</v>
      </c>
      <c r="D54" s="60">
        <v>0.1</v>
      </c>
      <c r="E54" s="112"/>
    </row>
    <row r="55" spans="2:5" ht="13.9" x14ac:dyDescent="0.4">
      <c r="B55" s="3" t="s">
        <v>43</v>
      </c>
      <c r="C55" s="59">
        <v>158110</v>
      </c>
      <c r="D55" s="60">
        <f>D52</f>
        <v>0.5</v>
      </c>
      <c r="E55" s="112"/>
    </row>
    <row r="56" spans="2:5" ht="13.9" x14ac:dyDescent="0.4">
      <c r="B56" s="1" t="s">
        <v>44</v>
      </c>
      <c r="C56" s="59">
        <v>0</v>
      </c>
      <c r="D56" s="60">
        <f>D50</f>
        <v>0.6</v>
      </c>
      <c r="E56" s="221" t="s">
        <v>67</v>
      </c>
    </row>
    <row r="57" spans="2:5" ht="13.9" x14ac:dyDescent="0.4">
      <c r="B57" s="3" t="s">
        <v>115</v>
      </c>
      <c r="C57" s="59">
        <v>0</v>
      </c>
      <c r="D57" s="60">
        <v>0.6</v>
      </c>
      <c r="E57" s="221" t="s">
        <v>42</v>
      </c>
    </row>
    <row r="58" spans="2:5" ht="13.9" x14ac:dyDescent="0.4">
      <c r="B58" s="3" t="s">
        <v>46</v>
      </c>
      <c r="C58" s="59">
        <v>5912</v>
      </c>
      <c r="D58" s="60">
        <f>D48</f>
        <v>0.9</v>
      </c>
      <c r="E58" s="112"/>
    </row>
    <row r="59" spans="2:5" ht="13.9" x14ac:dyDescent="0.4">
      <c r="B59" s="35" t="s">
        <v>47</v>
      </c>
      <c r="C59" s="120">
        <v>0</v>
      </c>
      <c r="D59" s="195">
        <f>D70</f>
        <v>0.05</v>
      </c>
      <c r="E59" s="112"/>
    </row>
    <row r="60" spans="2:5" ht="13.9" x14ac:dyDescent="0.4">
      <c r="B60" s="3" t="s">
        <v>57</v>
      </c>
      <c r="C60" s="59">
        <v>279425</v>
      </c>
      <c r="D60" s="60">
        <f>D49</f>
        <v>0.8</v>
      </c>
      <c r="E60" s="112"/>
    </row>
    <row r="61" spans="2:5" ht="13.9" x14ac:dyDescent="0.4">
      <c r="B61" s="3" t="s">
        <v>59</v>
      </c>
      <c r="C61" s="59">
        <v>126127</v>
      </c>
      <c r="D61" s="60">
        <f>D51</f>
        <v>0.6</v>
      </c>
      <c r="E61" s="112"/>
    </row>
    <row r="62" spans="2:5" ht="13.9" x14ac:dyDescent="0.4">
      <c r="B62" s="3" t="s">
        <v>61</v>
      </c>
      <c r="C62" s="59">
        <v>0</v>
      </c>
      <c r="D62" s="60">
        <f>D52</f>
        <v>0.5</v>
      </c>
      <c r="E62" s="112"/>
    </row>
    <row r="63" spans="2:5" ht="13.9" x14ac:dyDescent="0.4">
      <c r="B63" s="1" t="s">
        <v>151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244</v>
      </c>
      <c r="C64" s="59">
        <v>0</v>
      </c>
      <c r="D64" s="60">
        <v>0.4</v>
      </c>
      <c r="E64" s="112"/>
    </row>
    <row r="65" spans="2:5" ht="13.9" x14ac:dyDescent="0.4">
      <c r="B65" s="3" t="s">
        <v>66</v>
      </c>
      <c r="C65" s="59">
        <v>1500</v>
      </c>
      <c r="D65" s="60">
        <v>0.1</v>
      </c>
      <c r="E65" s="221" t="s">
        <v>67</v>
      </c>
    </row>
    <row r="66" spans="2:5" ht="13.9" x14ac:dyDescent="0.4">
      <c r="B66" s="3" t="s">
        <v>68</v>
      </c>
      <c r="C66" s="59">
        <v>0</v>
      </c>
      <c r="D66" s="60">
        <v>0.2</v>
      </c>
      <c r="E66" s="221" t="s">
        <v>67</v>
      </c>
    </row>
    <row r="67" spans="2:5" ht="13.9" x14ac:dyDescent="0.4">
      <c r="B67" s="1" t="s">
        <v>45</v>
      </c>
      <c r="C67" s="59">
        <v>0</v>
      </c>
      <c r="D67" s="60">
        <f>D65</f>
        <v>0.1</v>
      </c>
      <c r="E67" s="221" t="s">
        <v>42</v>
      </c>
    </row>
    <row r="68" spans="2:5" ht="13.9" x14ac:dyDescent="0.4">
      <c r="B68" s="3" t="s">
        <v>114</v>
      </c>
      <c r="C68" s="59">
        <v>193915</v>
      </c>
      <c r="D68" s="60">
        <f>D65</f>
        <v>0.1</v>
      </c>
      <c r="E68" s="112"/>
    </row>
    <row r="69" spans="2:5" ht="13.9" x14ac:dyDescent="0.4">
      <c r="B69" s="3" t="s">
        <v>69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70</v>
      </c>
      <c r="C70" s="59">
        <v>9704</v>
      </c>
      <c r="D70" s="60">
        <v>0.05</v>
      </c>
      <c r="E70" s="112"/>
    </row>
    <row r="71" spans="2:5" ht="13.9" x14ac:dyDescent="0.4">
      <c r="B71" s="3" t="s">
        <v>71</v>
      </c>
      <c r="C71" s="59">
        <v>76124</v>
      </c>
      <c r="D71" s="60">
        <f>D58</f>
        <v>0.9</v>
      </c>
      <c r="E71" s="112"/>
    </row>
    <row r="72" spans="2:5" ht="14.25" thickBot="1" x14ac:dyDescent="0.45">
      <c r="B72" s="246" t="s">
        <v>72</v>
      </c>
      <c r="C72" s="247"/>
      <c r="D72" s="248">
        <v>0</v>
      </c>
      <c r="E72" s="249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>
        <v>13416</v>
      </c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>
        <v>611931</v>
      </c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>
        <v>20583</v>
      </c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>
        <v>30946</v>
      </c>
    </row>
    <row r="83" spans="2:8" ht="14.25" thickTop="1" x14ac:dyDescent="0.4">
      <c r="B83" s="73" t="s">
        <v>206</v>
      </c>
      <c r="C83" s="59">
        <v>3023302</v>
      </c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234</v>
      </c>
      <c r="C86" s="197">
        <v>5</v>
      </c>
    </row>
    <row r="87" spans="2:8" ht="13.9" x14ac:dyDescent="0.4">
      <c r="B87" s="10" t="s">
        <v>232</v>
      </c>
      <c r="C87" s="236" t="s">
        <v>271</v>
      </c>
      <c r="D87" s="269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4" t="s">
        <v>97</v>
      </c>
      <c r="D90" s="284"/>
      <c r="E90" s="235" t="s">
        <v>98</v>
      </c>
      <c r="F90" s="255" t="s">
        <v>98</v>
      </c>
    </row>
    <row r="91" spans="2:8" ht="13.9" x14ac:dyDescent="0.4">
      <c r="B91" s="3" t="s">
        <v>121</v>
      </c>
      <c r="C91" s="77">
        <f>C25</f>
        <v>1615585</v>
      </c>
      <c r="D91" s="209"/>
      <c r="E91" s="251">
        <f>C91</f>
        <v>1615585</v>
      </c>
      <c r="F91" s="251">
        <f>C91</f>
        <v>1615585</v>
      </c>
    </row>
    <row r="92" spans="2:8" ht="13.9" x14ac:dyDescent="0.4">
      <c r="B92" s="104" t="s">
        <v>102</v>
      </c>
      <c r="C92" s="77">
        <f>C26</f>
        <v>897327</v>
      </c>
      <c r="D92" s="159">
        <f>C92/C91</f>
        <v>0.55541924442229906</v>
      </c>
      <c r="E92" s="252">
        <f>E91*D92</f>
        <v>897327</v>
      </c>
      <c r="F92" s="252">
        <f>F91*D92</f>
        <v>897327</v>
      </c>
    </row>
    <row r="93" spans="2:8" ht="13.9" x14ac:dyDescent="0.4">
      <c r="B93" s="104" t="s">
        <v>231</v>
      </c>
      <c r="C93" s="77">
        <f>C27+C28</f>
        <v>613104</v>
      </c>
      <c r="D93" s="159">
        <f>C93/C91</f>
        <v>0.37949349616392825</v>
      </c>
      <c r="E93" s="252">
        <f>E91*D93</f>
        <v>613104</v>
      </c>
      <c r="F93" s="252">
        <f>F91*D93</f>
        <v>613104</v>
      </c>
    </row>
    <row r="94" spans="2:8" ht="13.9" x14ac:dyDescent="0.4">
      <c r="B94" s="104" t="s">
        <v>239</v>
      </c>
      <c r="C94" s="77">
        <f>C29</f>
        <v>1003</v>
      </c>
      <c r="D94" s="159">
        <f>C94/C91</f>
        <v>6.208277497005729E-4</v>
      </c>
      <c r="E94" s="253"/>
      <c r="F94" s="252">
        <f>F91*D94</f>
        <v>1003.0000000000001</v>
      </c>
    </row>
    <row r="95" spans="2:8" ht="13.9" x14ac:dyDescent="0.4">
      <c r="B95" s="28" t="s">
        <v>230</v>
      </c>
      <c r="C95" s="77">
        <f>ABS(MAX(C33,0)-C32)</f>
        <v>20662</v>
      </c>
      <c r="D95" s="159">
        <f>C95/C91</f>
        <v>1.2789175437999239E-2</v>
      </c>
      <c r="E95" s="252">
        <f>E91*D95</f>
        <v>20662</v>
      </c>
      <c r="F95" s="252">
        <f>F91*D95</f>
        <v>20662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161</v>
      </c>
      <c r="C97" s="77">
        <f>MAX(C30,0)/(1-C16)</f>
        <v>2932</v>
      </c>
      <c r="D97" s="159">
        <f>C97/C91</f>
        <v>1.8148224946381651E-3</v>
      </c>
      <c r="E97" s="253"/>
      <c r="F97" s="252">
        <f>F91*D97</f>
        <v>2932</v>
      </c>
    </row>
    <row r="98" spans="2:7" ht="13.9" x14ac:dyDescent="0.4">
      <c r="B98" s="86" t="s">
        <v>193</v>
      </c>
      <c r="C98" s="237">
        <f>C44</f>
        <v>0.1178</v>
      </c>
      <c r="D98" s="266"/>
      <c r="E98" s="254">
        <f>F98</f>
        <v>0.1178</v>
      </c>
      <c r="F98" s="254">
        <f>C98</f>
        <v>0.1178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11" sqref="D11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6601.HK : 朝云集团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6601.HK</v>
      </c>
      <c r="D3" s="290"/>
      <c r="E3" s="87"/>
      <c r="F3" s="3" t="s">
        <v>1</v>
      </c>
      <c r="G3" s="132">
        <v>1.91</v>
      </c>
      <c r="H3" s="134" t="s">
        <v>272</v>
      </c>
    </row>
    <row r="4" spans="1:10" ht="15.75" customHeight="1" x14ac:dyDescent="0.4">
      <c r="B4" s="35" t="s">
        <v>181</v>
      </c>
      <c r="C4" s="291" t="str">
        <f>Inputs!C5</f>
        <v>朝云集团</v>
      </c>
      <c r="D4" s="292"/>
      <c r="E4" s="87"/>
      <c r="F4" s="3" t="s">
        <v>2</v>
      </c>
      <c r="G4" s="295">
        <f>Inputs!C10</f>
        <v>1333333500</v>
      </c>
      <c r="H4" s="295"/>
      <c r="I4" s="39"/>
    </row>
    <row r="5" spans="1:10" ht="15.75" customHeight="1" x14ac:dyDescent="0.4">
      <c r="B5" s="3" t="s">
        <v>155</v>
      </c>
      <c r="C5" s="293">
        <f>Inputs!C6</f>
        <v>45593</v>
      </c>
      <c r="D5" s="294"/>
      <c r="E5" s="34"/>
      <c r="F5" s="35" t="s">
        <v>96</v>
      </c>
      <c r="G5" s="287">
        <f>G3*G4/1000000</f>
        <v>2546.6669849999998</v>
      </c>
      <c r="H5" s="287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178</v>
      </c>
      <c r="C7" s="187" t="str">
        <f>Inputs!C8</f>
        <v>Tier 3</v>
      </c>
      <c r="D7" s="187" t="str">
        <f>Inputs!C9</f>
        <v>C0007</v>
      </c>
      <c r="E7" s="87"/>
      <c r="F7" s="35" t="s">
        <v>5</v>
      </c>
      <c r="G7" s="133">
        <v>1.0690929889678955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177</v>
      </c>
      <c r="F9" s="143" t="s">
        <v>172</v>
      </c>
    </row>
    <row r="10" spans="1:10" ht="15.75" customHeight="1" x14ac:dyDescent="0.4">
      <c r="B10" s="1" t="s">
        <v>163</v>
      </c>
      <c r="C10" s="172">
        <v>4.2000000000000003E-2</v>
      </c>
      <c r="F10" s="110" t="s">
        <v>170</v>
      </c>
    </row>
    <row r="11" spans="1:10" ht="15.75" customHeight="1" thickBot="1" x14ac:dyDescent="0.45">
      <c r="B11" s="122" t="s">
        <v>167</v>
      </c>
      <c r="C11" s="173">
        <v>5.2299999999999999E-2</v>
      </c>
      <c r="D11" s="137" t="s">
        <v>176</v>
      </c>
      <c r="F11" s="110" t="s">
        <v>165</v>
      </c>
    </row>
    <row r="12" spans="1:10" ht="15.75" customHeight="1" thickTop="1" x14ac:dyDescent="0.4">
      <c r="B12" s="87" t="s">
        <v>236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2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2">
        <v>6.5000000000000002E-2</v>
      </c>
      <c r="F15" s="110" t="s">
        <v>168</v>
      </c>
    </row>
    <row r="16" spans="1:10" ht="15.75" customHeight="1" thickBot="1" x14ac:dyDescent="0.45">
      <c r="B16" s="122" t="s">
        <v>174</v>
      </c>
      <c r="C16" s="173">
        <v>0.16</v>
      </c>
      <c r="D16" s="265" t="str">
        <f>Inputs!C15</f>
        <v>CN</v>
      </c>
      <c r="F16" s="110" t="s">
        <v>166</v>
      </c>
    </row>
    <row r="17" spans="1:8" ht="15.75" customHeight="1" thickTop="1" x14ac:dyDescent="0.4">
      <c r="B17" s="87" t="s">
        <v>237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262</v>
      </c>
      <c r="C19" s="135" t="s">
        <v>48</v>
      </c>
      <c r="D19" s="87"/>
      <c r="E19" s="87"/>
      <c r="F19" s="142" t="s">
        <v>198</v>
      </c>
      <c r="G19" s="87"/>
      <c r="H19" s="87"/>
    </row>
    <row r="20" spans="1:8" ht="15.75" customHeight="1" thickBot="1" x14ac:dyDescent="0.45">
      <c r="B20" s="275" t="s">
        <v>252</v>
      </c>
      <c r="C20" s="276" t="e">
        <f>C23*C22*(1/C21)</f>
        <v>#DIV/0!</v>
      </c>
      <c r="F20" s="87" t="s">
        <v>197</v>
      </c>
      <c r="G20" s="172">
        <v>0.15</v>
      </c>
    </row>
    <row r="21" spans="1:8" ht="15.75" customHeight="1" thickTop="1" x14ac:dyDescent="0.4">
      <c r="B21" s="277" t="s">
        <v>250</v>
      </c>
      <c r="C21" s="278" t="e">
        <f>Data!C53</f>
        <v>#DIV/0!</v>
      </c>
      <c r="F21" s="87"/>
      <c r="G21" s="29"/>
    </row>
    <row r="22" spans="1:8" ht="15.75" customHeight="1" x14ac:dyDescent="0.4">
      <c r="B22" s="279" t="s">
        <v>257</v>
      </c>
      <c r="C22" s="280" t="e">
        <f>Data!C48</f>
        <v>#DIV/0!</v>
      </c>
      <c r="F22" s="142" t="s">
        <v>171</v>
      </c>
    </row>
    <row r="23" spans="1:8" ht="15.75" customHeight="1" thickBot="1" x14ac:dyDescent="0.45">
      <c r="B23" s="281" t="s">
        <v>258</v>
      </c>
      <c r="C23" s="282">
        <f>Data!C13</f>
        <v>6.3272436919134561E-2</v>
      </c>
      <c r="F23" s="140" t="s">
        <v>175</v>
      </c>
      <c r="G23" s="177" t="e">
        <f>G3/(Data!C34*Data!C4/Common_Shares*Exchange_Rate)</f>
        <v>#DIV/0!</v>
      </c>
    </row>
    <row r="24" spans="1:8" ht="15.75" customHeight="1" x14ac:dyDescent="0.4">
      <c r="B24" s="137" t="s">
        <v>259</v>
      </c>
      <c r="C24" s="171">
        <f>Fin_Analysis!I81</f>
        <v>6.208277497005729E-4</v>
      </c>
      <c r="F24" s="140" t="s">
        <v>242</v>
      </c>
      <c r="G24" s="268">
        <f>G3/(Fin_Analysis!H86*G7)</f>
        <v>39.426854381514694</v>
      </c>
    </row>
    <row r="25" spans="1:8" ht="15.75" customHeight="1" x14ac:dyDescent="0.4">
      <c r="B25" s="137" t="s">
        <v>260</v>
      </c>
      <c r="C25" s="171">
        <f>Fin_Analysis!I80</f>
        <v>0</v>
      </c>
      <c r="F25" s="140" t="s">
        <v>162</v>
      </c>
      <c r="G25" s="171">
        <f>Fin_Analysis!I88</f>
        <v>2.5996778479834153</v>
      </c>
    </row>
    <row r="26" spans="1:8" ht="15.75" customHeight="1" x14ac:dyDescent="0.4">
      <c r="B26" s="138" t="s">
        <v>261</v>
      </c>
      <c r="C26" s="171">
        <f>Fin_Analysis!I80+Fin_Analysis!I82</f>
        <v>1.2789175437999239E-2</v>
      </c>
      <c r="F26" s="141" t="s">
        <v>179</v>
      </c>
      <c r="G26" s="178">
        <f>Fin_Analysis!H88*Exchange_Rate/G3</f>
        <v>6.5936729895506849E-2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223</v>
      </c>
      <c r="G28" s="285" t="s">
        <v>240</v>
      </c>
      <c r="H28" s="285"/>
    </row>
    <row r="29" spans="1:8" ht="15.75" customHeight="1" x14ac:dyDescent="0.4">
      <c r="B29" s="87" t="s">
        <v>160</v>
      </c>
      <c r="C29" s="130" t="e">
        <f>IF(Fin_Analysis!C108="Profit",Fin_Analysis!D100,IF(Fin_Analysis!C108="Dividend",Fin_Analysis!D103,Fin_Analysis!D106))</f>
        <v>#DIV/0!</v>
      </c>
      <c r="D29" s="129" t="e">
        <f>G29*(1+G20)</f>
        <v>#DIV/0!</v>
      </c>
      <c r="E29" s="87"/>
      <c r="F29" s="131" t="e">
        <f>IF(Fin_Analysis!C108="Profit",Fin_Analysis!F100,IF(Fin_Analysis!C108="Dividend",Fin_Analysis!F103,Fin_Analysis!F106))</f>
        <v>#DIV/0!</v>
      </c>
      <c r="G29" s="286" t="e">
        <f>IF(Fin_Analysis!C108="Profit",Fin_Analysis!I100,IF(Fin_Analysis!C108="Dividend",Fin_Analysis!I103,Fin_Analysis!I106))</f>
        <v>#DIV/0!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208</v>
      </c>
      <c r="C31"/>
    </row>
    <row r="32" spans="1:8" ht="15.75" customHeight="1" x14ac:dyDescent="0.4">
      <c r="A32"/>
      <c r="B32" s="196" t="s">
        <v>209</v>
      </c>
      <c r="C32" s="224"/>
    </row>
    <row r="33" spans="1:3" ht="15.75" customHeight="1" x14ac:dyDescent="0.4">
      <c r="A33"/>
      <c r="B33" s="20" t="s">
        <v>210</v>
      </c>
      <c r="C33" s="245" t="str">
        <f>Inputs!C17</f>
        <v>unclear</v>
      </c>
    </row>
    <row r="34" spans="1:3" ht="15.75" customHeight="1" x14ac:dyDescent="0.4">
      <c r="A34"/>
      <c r="B34" s="19" t="s">
        <v>211</v>
      </c>
      <c r="C34" s="225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6" t="s">
        <v>212</v>
      </c>
      <c r="C35" s="224"/>
    </row>
    <row r="36" spans="1:3" ht="15.75" customHeight="1" x14ac:dyDescent="0.4">
      <c r="A36"/>
      <c r="B36" s="20" t="s">
        <v>224</v>
      </c>
      <c r="C36" s="245" t="str">
        <f>Inputs!C18</f>
        <v>unclear</v>
      </c>
    </row>
    <row r="37" spans="1:3" ht="15.75" customHeight="1" x14ac:dyDescent="0.4">
      <c r="A37"/>
      <c r="B37" s="20" t="s">
        <v>225</v>
      </c>
      <c r="C37" s="245" t="str">
        <f>Inputs!C19</f>
        <v>unclear</v>
      </c>
    </row>
    <row r="38" spans="1:3" ht="15.75" customHeight="1" x14ac:dyDescent="0.4">
      <c r="A38"/>
      <c r="B38" s="196" t="s">
        <v>213</v>
      </c>
      <c r="C38" s="224"/>
    </row>
    <row r="39" spans="1:3" ht="15.75" customHeight="1" x14ac:dyDescent="0.4">
      <c r="A39"/>
      <c r="B39" s="19" t="s">
        <v>214</v>
      </c>
      <c r="C39" s="245" t="str">
        <f>Inputs!C20</f>
        <v>unclear</v>
      </c>
    </row>
    <row r="40" spans="1:3" ht="15.75" customHeight="1" x14ac:dyDescent="0.4">
      <c r="A40"/>
      <c r="B40" s="1" t="s">
        <v>217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215</v>
      </c>
      <c r="C42"/>
    </row>
    <row r="43" spans="1:3" ht="65.650000000000006" x14ac:dyDescent="0.4">
      <c r="A43"/>
      <c r="B43" s="226" t="s">
        <v>216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24" zoomScaleNormal="100" workbookViewId="0">
      <pane xSplit="2" topLeftCell="C1" activePane="topRight" state="frozen"/>
      <selection activeCell="A4" sqref="A4"/>
      <selection pane="topRight" activeCell="D36" sqref="D36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185</v>
      </c>
      <c r="F2" s="119" t="s">
        <v>188</v>
      </c>
      <c r="G2" s="148" t="s">
        <v>189</v>
      </c>
      <c r="H2" s="147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186</v>
      </c>
      <c r="F3" s="85" t="str">
        <f>H14</f>
        <v/>
      </c>
      <c r="G3" s="85">
        <f>C14</f>
        <v>102222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1615585</v>
      </c>
      <c r="D6" s="200">
        <f>IF(Inputs!D25="","",Inputs!D25)</f>
        <v>1446638</v>
      </c>
      <c r="E6" s="200">
        <f>IF(Inputs!E25="","",Inputs!E25)</f>
        <v>1769157</v>
      </c>
      <c r="F6" s="200">
        <f>IF(Inputs!F25="","",Inputs!F25)</f>
        <v>1702154</v>
      </c>
      <c r="G6" s="200">
        <f>IF(Inputs!G25="","",Inputs!G25)</f>
        <v>1383402</v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0.11678595474472542</v>
      </c>
      <c r="D7" s="92">
        <f t="shared" si="1"/>
        <v>-0.18230094898304672</v>
      </c>
      <c r="E7" s="92">
        <f t="shared" si="1"/>
        <v>3.9363653347464389E-2</v>
      </c>
      <c r="F7" s="92">
        <f t="shared" si="1"/>
        <v>0.2304116952266948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897327</v>
      </c>
      <c r="D8" s="199">
        <f>IF(Inputs!D26="","",Inputs!D26)</f>
        <v>845264</v>
      </c>
      <c r="E8" s="199">
        <f>IF(Inputs!E26="","",Inputs!E26)</f>
        <v>981731</v>
      </c>
      <c r="F8" s="199">
        <f>IF(Inputs!F26="","",Inputs!F26)</f>
        <v>959572</v>
      </c>
      <c r="G8" s="199">
        <f>IF(Inputs!G26="","",Inputs!G26)</f>
        <v>783542</v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718258</v>
      </c>
      <c r="D9" s="151">
        <f t="shared" si="2"/>
        <v>601374</v>
      </c>
      <c r="E9" s="151">
        <f t="shared" si="2"/>
        <v>787426</v>
      </c>
      <c r="F9" s="151">
        <f t="shared" si="2"/>
        <v>742582</v>
      </c>
      <c r="G9" s="151">
        <f t="shared" si="2"/>
        <v>599860</v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613104</v>
      </c>
      <c r="D10" s="199">
        <f>IF(Inputs!D27="","",Inputs!D27)</f>
        <v>599182</v>
      </c>
      <c r="E10" s="199">
        <f>IF(Inputs!E27="","",Inputs!E27)</f>
        <v>705390</v>
      </c>
      <c r="F10" s="199">
        <f>IF(Inputs!F27="","",Inputs!F27)</f>
        <v>456610</v>
      </c>
      <c r="G10" s="199">
        <f>IF(Inputs!G27="","",Inputs!G27)</f>
        <v>396643</v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226</v>
      </c>
      <c r="C12" s="199">
        <f>IF(Inputs!C30="","",MAX(Inputs!C30,0)/(1-Fin_Analysis!$I$84))</f>
        <v>2932</v>
      </c>
      <c r="D12" s="199">
        <f>IF(Inputs!D30="","",MAX(Inputs!D30,0)/(1-Fin_Analysis!$I$84))</f>
        <v>860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227</v>
      </c>
      <c r="C13" s="229">
        <f t="shared" ref="C13:M13" si="3">IF(C14="","",C14/C6)</f>
        <v>6.3272436919134561E-2</v>
      </c>
      <c r="D13" s="229">
        <f t="shared" si="3"/>
        <v>9.2075557257586215E-4</v>
      </c>
      <c r="E13" s="229">
        <f t="shared" si="3"/>
        <v>4.6370107344910601E-2</v>
      </c>
      <c r="F13" s="229">
        <f t="shared" si="3"/>
        <v>0.16800595010792208</v>
      </c>
      <c r="G13" s="229">
        <f t="shared" si="3"/>
        <v>0.14689656368864581</v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219</v>
      </c>
      <c r="C14" s="230">
        <f>IF(C6="","",C9-C10-MAX(C11,0)-MAX(C12,0))</f>
        <v>102222</v>
      </c>
      <c r="D14" s="230">
        <f t="shared" ref="D14:M14" si="4">IF(D6="","",D9-D10-MAX(D11,0)-MAX(D12,0))</f>
        <v>1332</v>
      </c>
      <c r="E14" s="230">
        <f t="shared" si="4"/>
        <v>82036</v>
      </c>
      <c r="F14" s="230">
        <f t="shared" si="4"/>
        <v>285972</v>
      </c>
      <c r="G14" s="230">
        <f t="shared" si="4"/>
        <v>203217</v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228</v>
      </c>
      <c r="C15" s="232">
        <f>IF(D14="","",IF(ABS(C14+D14)=ABS(C14)+ABS(D14),IF(C14&lt;0,-1,1)*(C14-D14)/D14,"Turn"))</f>
        <v>75.743243243243242</v>
      </c>
      <c r="D15" s="232">
        <f t="shared" ref="D15:M15" si="5">IF(E14="","",IF(ABS(D14+E14)=ABS(D14)+ABS(E14),IF(D14&lt;0,-1,1)*(D14-E14)/E14,"Turn"))</f>
        <v>-0.98376322590082399</v>
      </c>
      <c r="E15" s="232">
        <f t="shared" si="5"/>
        <v>-0.71313275425566136</v>
      </c>
      <c r="F15" s="232">
        <f t="shared" si="5"/>
        <v>0.40722478926467764</v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>
        <f>IF(Inputs!C31="","",Inputs!C31)</f>
        <v>-169280</v>
      </c>
      <c r="D16" s="199">
        <f>IF(Inputs!D31="","",Inputs!D31)</f>
        <v>-50846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239</v>
      </c>
      <c r="C17" s="199">
        <f>IF(Inputs!C29="","",Inputs!C29)</f>
        <v>1003</v>
      </c>
      <c r="D17" s="199">
        <f>IF(Inputs!D29="","",Inputs!D29)</f>
        <v>863</v>
      </c>
      <c r="E17" s="199">
        <f>IF(Inputs!E29="","",Inputs!E29)</f>
        <v>1613</v>
      </c>
      <c r="F17" s="199">
        <f>IF(Inputs!F29="","",Inputs!F29)</f>
        <v>2645</v>
      </c>
      <c r="G17" s="199">
        <f>IF(Inputs!G29="","",Inputs!G29)</f>
        <v>299</v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>
        <f t="shared" ref="C18:M18" si="6">IF(OR(C6="",C19=""),"",C19/C6)</f>
        <v>2.2266856897037297E-2</v>
      </c>
      <c r="D18" s="152">
        <f t="shared" si="6"/>
        <v>2.2193527337177648E-2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>
        <f>IF(Inputs!C32="","",Inputs!C32)</f>
        <v>35974</v>
      </c>
      <c r="D19" s="199">
        <f>IF(Inputs!D32="","",Inputs!D32)</f>
        <v>32106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221</v>
      </c>
      <c r="C20" s="152">
        <f t="shared" ref="C20:M20" si="7">IF(C6="","",MAX(C21,0)/C6)</f>
        <v>9.4776814590380575E-3</v>
      </c>
      <c r="D20" s="152">
        <f t="shared" si="7"/>
        <v>8.0185920734834829E-3</v>
      </c>
      <c r="E20" s="152">
        <f t="shared" si="7"/>
        <v>0</v>
      </c>
      <c r="F20" s="152">
        <f t="shared" si="7"/>
        <v>0</v>
      </c>
      <c r="G20" s="152">
        <f t="shared" si="7"/>
        <v>0</v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>
        <f>IF(Inputs!C33="","",Inputs!C33)</f>
        <v>15312</v>
      </c>
      <c r="D21" s="199">
        <f>IF(Inputs!D33="","",Inputs!D33)</f>
        <v>11600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80557</v>
      </c>
      <c r="D22" s="161">
        <f t="shared" ref="D22:M22" si="8">IF(D6="","",D14-MAX(D16,0)-MAX(D17,0)-ABS(MAX(D21,0)-MAX(D19,0)))</f>
        <v>-20037</v>
      </c>
      <c r="E22" s="161">
        <f t="shared" si="8"/>
        <v>80423</v>
      </c>
      <c r="F22" s="161">
        <f t="shared" si="8"/>
        <v>283327</v>
      </c>
      <c r="G22" s="161">
        <f t="shared" si="8"/>
        <v>202918</v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3.7396825298576054E-2</v>
      </c>
      <c r="D23" s="153">
        <f t="shared" si="9"/>
        <v>-1.0388051468300985E-2</v>
      </c>
      <c r="E23" s="153">
        <f t="shared" si="9"/>
        <v>3.4093780258055109E-2</v>
      </c>
      <c r="F23" s="153">
        <f t="shared" si="9"/>
        <v>0.12483902749104958</v>
      </c>
      <c r="G23" s="153">
        <f t="shared" si="9"/>
        <v>0.11001032237917828</v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60417.75</v>
      </c>
      <c r="D24" s="77">
        <f>IF(D6="","",D22*(1-Fin_Analysis!$I$84))</f>
        <v>-15027.75</v>
      </c>
      <c r="E24" s="77">
        <f>IF(E6="","",E22*(1-Fin_Analysis!$I$84))</f>
        <v>60317.25</v>
      </c>
      <c r="F24" s="77">
        <f>IF(F6="","",F22*(1-Fin_Analysis!$I$84))</f>
        <v>212495.25</v>
      </c>
      <c r="G24" s="77">
        <f>IF(G6="","",G22*(1-Fin_Analysis!$I$84))</f>
        <v>152188.5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123</v>
      </c>
      <c r="C25" s="233" t="str">
        <f>IF(D24="","",IF(ABS(C24+D24)=ABS(C24)+ABS(D24),IF(C24&lt;0,-1,1)*(C24-D24)/D24,"Turn"))</f>
        <v>Turn</v>
      </c>
      <c r="D25" s="233" t="str">
        <f t="shared" ref="D25:M25" si="10">IF(E24="","",IF(ABS(D24+E24)=ABS(D24)+ABS(E24),IF(D24&lt;0,-1,1)*(D24-E24)/E24,"Turn"))</f>
        <v>Turn</v>
      </c>
      <c r="E25" s="233">
        <f t="shared" si="10"/>
        <v>-0.71614777271491947</v>
      </c>
      <c r="F25" s="233">
        <f t="shared" si="10"/>
        <v>0.3962635153116037</v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0</v>
      </c>
      <c r="D27" s="65">
        <f>IF(D34="","",D34+D30)</f>
        <v>3559477</v>
      </c>
      <c r="E27" s="65">
        <f t="shared" ref="E27:M27" si="20">IF(E34="","",E34+E30)</f>
        <v>3413258</v>
      </c>
      <c r="F27" s="65">
        <f t="shared" si="20"/>
        <v>1603329</v>
      </c>
      <c r="G27" s="65">
        <f t="shared" si="20"/>
        <v>1218998</v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180994</v>
      </c>
      <c r="D28" s="199" t="str">
        <f>IF(Inputs!D35="","",Inputs!D35)</f>
        <v/>
      </c>
      <c r="E28" s="199" t="str">
        <f>IF(Inputs!E35="","",Inputs!E35)</f>
        <v/>
      </c>
      <c r="F28" s="199" t="str">
        <f>IF(Inputs!F35="","",Inputs!F35)</f>
        <v/>
      </c>
      <c r="G28" s="199" t="str">
        <f>IF(Inputs!G35="","",Inputs!G35)</f>
        <v/>
      </c>
      <c r="H28" s="199" t="str">
        <f>IF(Inputs!H35="","",Inputs!H35)</f>
        <v/>
      </c>
      <c r="I28" s="199" t="str">
        <f>IF(Inputs!I35="","",Inputs!I35)</f>
        <v/>
      </c>
      <c r="J28" s="199" t="str">
        <f>IF(Inputs!J35="","",Inputs!J35)</f>
        <v/>
      </c>
      <c r="K28" s="199" t="str">
        <f>IF(Inputs!K35="","",Inputs!K35)</f>
        <v/>
      </c>
      <c r="L28" s="199" t="str">
        <f>IF(Inputs!L35="","",Inputs!L35)</f>
        <v/>
      </c>
      <c r="M28" s="199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158110</v>
      </c>
      <c r="D29" s="199" t="str">
        <f>IF(Inputs!D36="","",Inputs!D36)</f>
        <v/>
      </c>
      <c r="E29" s="199" t="str">
        <f>IF(Inputs!E36="","",Inputs!E36)</f>
        <v/>
      </c>
      <c r="F29" s="199" t="str">
        <f>IF(Inputs!F36="","",Inputs!F36)</f>
        <v/>
      </c>
      <c r="G29" s="199" t="str">
        <f>IF(Inputs!G36="","",Inputs!G36)</f>
        <v/>
      </c>
      <c r="H29" s="199" t="str">
        <f>IF(Inputs!H36="","",Inputs!H36)</f>
        <v/>
      </c>
      <c r="I29" s="199" t="str">
        <f>IF(Inputs!I36="","",Inputs!I36)</f>
        <v/>
      </c>
      <c r="J29" s="199" t="str">
        <f>IF(Inputs!J36="","",Inputs!J36)</f>
        <v/>
      </c>
      <c r="K29" s="199" t="str">
        <f>IF(Inputs!K36="","",Inputs!K36)</f>
        <v/>
      </c>
      <c r="L29" s="199" t="str">
        <f>IF(Inputs!L36="","",Inputs!L36)</f>
        <v/>
      </c>
      <c r="M29" s="199" t="str">
        <f>IF(Inputs!M36="","",Inputs!M36)</f>
        <v/>
      </c>
      <c r="N29" s="87"/>
    </row>
    <row r="30" spans="1:14" ht="15.75" customHeight="1" x14ac:dyDescent="0.4">
      <c r="A30" s="4"/>
      <c r="B30" s="94" t="s">
        <v>263</v>
      </c>
      <c r="C30" s="65">
        <f>Inputs!C37</f>
        <v>0</v>
      </c>
      <c r="D30" s="199">
        <f>IF(Inputs!D37="","",Inputs!D37)</f>
        <v>734909</v>
      </c>
      <c r="E30" s="199">
        <f>IF(Inputs!E37="","",Inputs!E37)</f>
        <v>677999</v>
      </c>
      <c r="F30" s="199">
        <f>IF(Inputs!F37="","",Inputs!F37)</f>
        <v>1352795</v>
      </c>
      <c r="G30" s="199">
        <f>IF(Inputs!G37="","",Inputs!G37)</f>
        <v>1205068</v>
      </c>
      <c r="H30" s="199" t="str">
        <f>IF(Inputs!H37="","",Inputs!H37)</f>
        <v/>
      </c>
      <c r="I30" s="199" t="str">
        <f>IF(Inputs!I37="","",Inputs!I37)</f>
        <v/>
      </c>
      <c r="J30" s="199" t="str">
        <f>IF(Inputs!J37="","",Inputs!J37)</f>
        <v/>
      </c>
      <c r="K30" s="199" t="str">
        <f>IF(Inputs!K37="","",Inputs!K37)</f>
        <v/>
      </c>
      <c r="L30" s="199" t="str">
        <f>IF(Inputs!L37="","",Inputs!L37)</f>
        <v/>
      </c>
      <c r="M30" s="199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13416</v>
      </c>
      <c r="D31" s="199">
        <f>IF(Inputs!D39="","",Inputs!D39)</f>
        <v>6202</v>
      </c>
      <c r="E31" s="199">
        <f>IF(Inputs!E39="","",Inputs!E39)</f>
        <v>5517</v>
      </c>
      <c r="F31" s="199">
        <f>IF(Inputs!F39="","",Inputs!F39)</f>
        <v>301783</v>
      </c>
      <c r="G31" s="199">
        <f>IF(Inputs!G39="","",Inputs!G39)</f>
        <v>3225</v>
      </c>
      <c r="H31" s="199" t="str">
        <f>IF(Inputs!H39="","",Inputs!H39)</f>
        <v/>
      </c>
      <c r="I31" s="199" t="str">
        <f>IF(Inputs!I39="","",Inputs!I39)</f>
        <v/>
      </c>
      <c r="J31" s="199" t="str">
        <f>IF(Inputs!J39="","",Inputs!J39)</f>
        <v/>
      </c>
      <c r="K31" s="199" t="str">
        <f>IF(Inputs!K39="","",Inputs!K39)</f>
        <v/>
      </c>
      <c r="L31" s="199" t="str">
        <f>IF(Inputs!L39="","",Inputs!L39)</f>
        <v/>
      </c>
      <c r="M31" s="199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20583</v>
      </c>
      <c r="D32" s="199">
        <f>IF(Inputs!D40="","",Inputs!D40)</f>
        <v>10412</v>
      </c>
      <c r="E32" s="199">
        <f>IF(Inputs!E40="","",Inputs!E40)</f>
        <v>9392</v>
      </c>
      <c r="F32" s="199">
        <f>IF(Inputs!F40="","",Inputs!F40)</f>
        <v>5096</v>
      </c>
      <c r="G32" s="199">
        <f>IF(Inputs!G40="","",Inputs!G40)</f>
        <v>6880</v>
      </c>
      <c r="H32" s="199" t="str">
        <f>IF(Inputs!H40="","",Inputs!H40)</f>
        <v/>
      </c>
      <c r="I32" s="199" t="str">
        <f>IF(Inputs!I40="","",Inputs!I40)</f>
        <v/>
      </c>
      <c r="J32" s="199" t="str">
        <f>IF(Inputs!J40="","",Inputs!J40)</f>
        <v/>
      </c>
      <c r="K32" s="199" t="str">
        <f>IF(Inputs!K40="","",Inputs!K40)</f>
        <v/>
      </c>
      <c r="L32" s="199" t="str">
        <f>IF(Inputs!L40="","",Inputs!L40)</f>
        <v/>
      </c>
      <c r="M32" s="199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33999</v>
      </c>
      <c r="D33" s="77">
        <f t="shared" ref="D33" si="22">IF(OR(D31="",D32=""),"",D31+D32)</f>
        <v>16614</v>
      </c>
      <c r="E33" s="77">
        <f t="shared" ref="E33" si="23">IF(OR(E31="",E32=""),"",E31+E32)</f>
        <v>14909</v>
      </c>
      <c r="F33" s="77">
        <f t="shared" ref="F33" si="24">IF(OR(F31="",F32=""),"",F31+F32)</f>
        <v>306879</v>
      </c>
      <c r="G33" s="77">
        <f t="shared" ref="G33" si="25">IF(OR(G31="",G32=""),"",G31+G32)</f>
        <v>10105</v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0</v>
      </c>
      <c r="D34" s="199">
        <f>IF(Inputs!D41="","",Inputs!D41)</f>
        <v>2824568</v>
      </c>
      <c r="E34" s="199">
        <f>IF(Inputs!E41="","",Inputs!E41)</f>
        <v>2735259</v>
      </c>
      <c r="F34" s="199">
        <f>IF(Inputs!F41="","",Inputs!F41)</f>
        <v>250534</v>
      </c>
      <c r="G34" s="199">
        <f>IF(Inputs!G41="","",Inputs!G41)</f>
        <v>13930</v>
      </c>
      <c r="H34" s="199" t="str">
        <f>IF(Inputs!H41="","",Inputs!H41)</f>
        <v/>
      </c>
      <c r="I34" s="199" t="str">
        <f>IF(Inputs!I41="","",Inputs!I41)</f>
        <v/>
      </c>
      <c r="J34" s="199" t="str">
        <f>IF(Inputs!J41="","",Inputs!J41)</f>
        <v/>
      </c>
      <c r="K34" s="199" t="str">
        <f>IF(Inputs!K41="","",Inputs!K41)</f>
        <v/>
      </c>
      <c r="L34" s="199" t="str">
        <f>IF(Inputs!L41="","",Inputs!L41)</f>
        <v/>
      </c>
      <c r="M34" s="199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0</v>
      </c>
      <c r="D35" s="199">
        <f>IF(Inputs!D42="","",Inputs!D42)</f>
        <v>7297</v>
      </c>
      <c r="E35" s="199">
        <f>IF(Inputs!E42="","",Inputs!E42)</f>
        <v>1498</v>
      </c>
      <c r="F35" s="199">
        <f>IF(Inputs!F42="","",Inputs!F42)</f>
        <v>2853</v>
      </c>
      <c r="G35" s="199">
        <f>IF(Inputs!G42="","",Inputs!G42)</f>
        <v>696</v>
      </c>
      <c r="H35" s="199" t="str">
        <f>IF(Inputs!H42="","",Inputs!H42)</f>
        <v/>
      </c>
      <c r="I35" s="199" t="str">
        <f>IF(Inputs!I42="","",Inputs!I42)</f>
        <v/>
      </c>
      <c r="J35" s="199" t="str">
        <f>IF(Inputs!J42="","",Inputs!J42)</f>
        <v/>
      </c>
      <c r="K35" s="199" t="str">
        <f>IF(Inputs!K42="","",Inputs!K42)</f>
        <v/>
      </c>
      <c r="L35" s="199" t="str">
        <f>IF(Inputs!L42="","",Inputs!L42)</f>
        <v/>
      </c>
      <c r="M35" s="199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9">
        <f>IF(Inputs!D43="","",Inputs!D43)</f>
        <v>2868641</v>
      </c>
      <c r="E36" s="199" t="str">
        <f>IF(Inputs!E43="","",Inputs!E43)</f>
        <v/>
      </c>
      <c r="F36" s="199" t="str">
        <f>IF(Inputs!F43="","",Inputs!F43)</f>
        <v/>
      </c>
      <c r="G36" s="199" t="str">
        <f>IF(Inputs!G43="","",Inputs!G43)</f>
        <v/>
      </c>
      <c r="H36" s="199" t="str">
        <f>IF(Inputs!H43="","",Inputs!H43)</f>
        <v/>
      </c>
      <c r="I36" s="199" t="str">
        <f>IF(Inputs!I43="","",Inputs!I43)</f>
        <v/>
      </c>
      <c r="J36" s="199" t="str">
        <f>IF(Inputs!J43="","",Inputs!J43)</f>
        <v/>
      </c>
      <c r="K36" s="199" t="str">
        <f>IF(Inputs!K43="","",Inputs!K43)</f>
        <v/>
      </c>
      <c r="L36" s="199" t="str">
        <f>IF(Inputs!L43="","",Inputs!L43)</f>
        <v/>
      </c>
      <c r="M36" s="199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624759</v>
      </c>
      <c r="D37" s="65">
        <f t="shared" ref="D37:M37" si="32">IF(D36="","",D27-D36)</f>
        <v>690836</v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5">
        <f>IF(C6="","",C14/MAX(C37,0))</f>
        <v>0.16361829121309177</v>
      </c>
      <c r="D38" s="155">
        <f>IF(D6="","",D14/MAX(D37,0))</f>
        <v>1.9280987093897829E-3</v>
      </c>
      <c r="E38" s="155" t="e">
        <f>IF(E6="","",E14/MAX(E37,0))</f>
        <v>#DIV/0!</v>
      </c>
      <c r="F38" s="155" t="str">
        <f t="shared" ref="F38:M38" si="33">IF(F37="","",F14/F37)</f>
        <v/>
      </c>
      <c r="G38" s="155" t="str">
        <f t="shared" si="33"/>
        <v/>
      </c>
      <c r="H38" s="155" t="str">
        <f t="shared" si="33"/>
        <v/>
      </c>
      <c r="I38" s="155" t="str">
        <f t="shared" si="33"/>
        <v/>
      </c>
      <c r="J38" s="155" t="str">
        <f t="shared" si="33"/>
        <v/>
      </c>
      <c r="K38" s="155" t="str">
        <f t="shared" si="33"/>
        <v/>
      </c>
      <c r="L38" s="155" t="str">
        <f t="shared" si="33"/>
        <v/>
      </c>
      <c r="M38" s="155" t="str">
        <f t="shared" si="33"/>
        <v/>
      </c>
      <c r="N38" s="87"/>
    </row>
    <row r="39" spans="1:14" ht="15.75" customHeight="1" x14ac:dyDescent="0.4">
      <c r="A39" s="16"/>
      <c r="B39" s="55" t="s">
        <v>247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6">
        <f t="shared" ref="C40:M40" si="34">IF(C6="","",C8/C6)</f>
        <v>0.55541924442229906</v>
      </c>
      <c r="D40" s="156">
        <f t="shared" si="34"/>
        <v>0.5842954491724951</v>
      </c>
      <c r="E40" s="156">
        <f t="shared" si="34"/>
        <v>0.55491457230760188</v>
      </c>
      <c r="F40" s="156">
        <f t="shared" si="34"/>
        <v>0.56373982612619067</v>
      </c>
      <c r="G40" s="156">
        <f t="shared" si="34"/>
        <v>0.56638778894348862</v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87"/>
    </row>
    <row r="41" spans="1:14" ht="15.75" customHeight="1" x14ac:dyDescent="0.4">
      <c r="A41" s="4"/>
      <c r="B41" s="94" t="s">
        <v>220</v>
      </c>
      <c r="C41" s="153">
        <f t="shared" ref="C41:M41" si="35">IF(C6="","",(C10+MAX(C11,0))/C6)</f>
        <v>0.37949349616392825</v>
      </c>
      <c r="D41" s="153">
        <f t="shared" si="35"/>
        <v>0.41418931342879145</v>
      </c>
      <c r="E41" s="153">
        <f t="shared" si="35"/>
        <v>0.39871532034748752</v>
      </c>
      <c r="F41" s="153">
        <f t="shared" si="35"/>
        <v>0.2682542237658872</v>
      </c>
      <c r="G41" s="153">
        <f t="shared" si="35"/>
        <v>0.28671564736786559</v>
      </c>
      <c r="H41" s="153" t="str">
        <f t="shared" si="35"/>
        <v/>
      </c>
      <c r="I41" s="153" t="str">
        <f t="shared" si="35"/>
        <v/>
      </c>
      <c r="J41" s="153" t="str">
        <f t="shared" si="35"/>
        <v/>
      </c>
      <c r="K41" s="153" t="str">
        <f t="shared" si="35"/>
        <v/>
      </c>
      <c r="L41" s="153" t="str">
        <f t="shared" si="35"/>
        <v/>
      </c>
      <c r="M41" s="153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3">
        <f t="shared" ref="C42:M42" si="36">IF(C6="","",MAX(C16,0)/C6)</f>
        <v>0</v>
      </c>
      <c r="D42" s="153">
        <f t="shared" si="36"/>
        <v>0</v>
      </c>
      <c r="E42" s="153">
        <f t="shared" si="36"/>
        <v>0</v>
      </c>
      <c r="F42" s="153">
        <f t="shared" si="36"/>
        <v>0</v>
      </c>
      <c r="G42" s="153">
        <f t="shared" si="36"/>
        <v>0</v>
      </c>
      <c r="H42" s="153" t="str">
        <f t="shared" si="36"/>
        <v/>
      </c>
      <c r="I42" s="153" t="str">
        <f t="shared" si="36"/>
        <v/>
      </c>
      <c r="J42" s="153" t="str">
        <f t="shared" si="36"/>
        <v/>
      </c>
      <c r="K42" s="153" t="str">
        <f t="shared" si="36"/>
        <v/>
      </c>
      <c r="L42" s="153" t="str">
        <f t="shared" si="36"/>
        <v/>
      </c>
      <c r="M42" s="153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3">
        <f t="shared" ref="C43:M43" si="37">IF(C6="","",MAX(C17,0)/C6)</f>
        <v>6.208277497005729E-4</v>
      </c>
      <c r="D43" s="153">
        <f t="shared" si="37"/>
        <v>5.9655559994967644E-4</v>
      </c>
      <c r="E43" s="153">
        <f t="shared" si="37"/>
        <v>9.1173366750378854E-4</v>
      </c>
      <c r="F43" s="153">
        <f t="shared" si="37"/>
        <v>1.5539134531893119E-3</v>
      </c>
      <c r="G43" s="153">
        <f t="shared" si="37"/>
        <v>2.1613384974143452E-4</v>
      </c>
      <c r="H43" s="153" t="str">
        <f t="shared" si="37"/>
        <v/>
      </c>
      <c r="I43" s="153" t="str">
        <f t="shared" si="37"/>
        <v/>
      </c>
      <c r="J43" s="153" t="str">
        <f t="shared" si="37"/>
        <v/>
      </c>
      <c r="K43" s="153" t="str">
        <f t="shared" si="37"/>
        <v/>
      </c>
      <c r="L43" s="153" t="str">
        <f t="shared" si="37"/>
        <v/>
      </c>
      <c r="M43" s="153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3">
        <f t="shared" ref="C44:M44" si="38">IF(C6="","",MAX(C12,0)/C6)</f>
        <v>1.8148224946381651E-3</v>
      </c>
      <c r="D44" s="153">
        <f t="shared" si="38"/>
        <v>5.9448182613756862E-4</v>
      </c>
      <c r="E44" s="153">
        <f t="shared" si="38"/>
        <v>0</v>
      </c>
      <c r="F44" s="153">
        <f t="shared" si="38"/>
        <v>0</v>
      </c>
      <c r="G44" s="153">
        <f t="shared" si="38"/>
        <v>0</v>
      </c>
      <c r="H44" s="153" t="str">
        <f t="shared" si="38"/>
        <v/>
      </c>
      <c r="I44" s="153" t="str">
        <f t="shared" si="38"/>
        <v/>
      </c>
      <c r="J44" s="153" t="str">
        <f t="shared" si="38"/>
        <v/>
      </c>
      <c r="K44" s="153" t="str">
        <f t="shared" si="38"/>
        <v/>
      </c>
      <c r="L44" s="153" t="str">
        <f t="shared" si="38"/>
        <v/>
      </c>
      <c r="M44" s="153" t="str">
        <f t="shared" si="38"/>
        <v/>
      </c>
      <c r="N44" s="87"/>
    </row>
    <row r="45" spans="1:14" ht="15.75" customHeight="1" x14ac:dyDescent="0.4">
      <c r="A45" s="4"/>
      <c r="B45" s="94" t="s">
        <v>222</v>
      </c>
      <c r="C45" s="153">
        <f t="shared" ref="C45:M45" si="39">IF(C6="","",ABS(MAX(C21,0)-MAX(C19,0))/C6)</f>
        <v>1.2789175437999239E-2</v>
      </c>
      <c r="D45" s="153">
        <f t="shared" si="39"/>
        <v>1.4174935263694165E-2</v>
      </c>
      <c r="E45" s="153">
        <f t="shared" si="39"/>
        <v>0</v>
      </c>
      <c r="F45" s="153">
        <f t="shared" si="39"/>
        <v>0</v>
      </c>
      <c r="G45" s="153">
        <f t="shared" si="39"/>
        <v>0</v>
      </c>
      <c r="H45" s="153" t="str">
        <f t="shared" si="39"/>
        <v/>
      </c>
      <c r="I45" s="153" t="str">
        <f t="shared" si="39"/>
        <v/>
      </c>
      <c r="J45" s="153" t="str">
        <f t="shared" si="39"/>
        <v/>
      </c>
      <c r="K45" s="153" t="str">
        <f t="shared" si="39"/>
        <v/>
      </c>
      <c r="L45" s="153" t="str">
        <f t="shared" si="39"/>
        <v/>
      </c>
      <c r="M45" s="153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3">
        <f t="shared" ref="C46:M46" si="40">IF(C6="","",C22/C6)</f>
        <v>4.9862433731434744E-2</v>
      </c>
      <c r="D46" s="153">
        <f t="shared" si="40"/>
        <v>-1.385073529106798E-2</v>
      </c>
      <c r="E46" s="153">
        <f t="shared" si="40"/>
        <v>4.5458373677406808E-2</v>
      </c>
      <c r="F46" s="153">
        <f t="shared" si="40"/>
        <v>0.16645203665473277</v>
      </c>
      <c r="G46" s="153">
        <f t="shared" si="40"/>
        <v>0.14668042983890439</v>
      </c>
      <c r="H46" s="153" t="str">
        <f t="shared" si="40"/>
        <v/>
      </c>
      <c r="I46" s="153" t="str">
        <f t="shared" si="40"/>
        <v/>
      </c>
      <c r="J46" s="153" t="str">
        <f t="shared" si="40"/>
        <v/>
      </c>
      <c r="K46" s="153" t="str">
        <f t="shared" si="40"/>
        <v/>
      </c>
      <c r="L46" s="153" t="str">
        <f t="shared" si="40"/>
        <v/>
      </c>
      <c r="M46" s="153" t="str">
        <f t="shared" si="40"/>
        <v/>
      </c>
      <c r="N46" s="87"/>
    </row>
    <row r="47" spans="1:14" ht="15.75" customHeight="1" x14ac:dyDescent="0.4">
      <c r="A47" s="16"/>
      <c r="B47" s="102" t="s">
        <v>248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71" t="s">
        <v>254</v>
      </c>
      <c r="C48" s="272" t="e">
        <f t="shared" ref="C48:M48" si="41">IF(C6="","",C6/C27)</f>
        <v>#DIV/0!</v>
      </c>
      <c r="D48" s="272">
        <f t="shared" si="41"/>
        <v>0.40641869578030704</v>
      </c>
      <c r="E48" s="272">
        <f t="shared" si="41"/>
        <v>0.51831915430946029</v>
      </c>
      <c r="F48" s="272">
        <f t="shared" si="41"/>
        <v>1.0616373807247297</v>
      </c>
      <c r="G48" s="272">
        <f t="shared" si="41"/>
        <v>1.1348681458049972</v>
      </c>
      <c r="H48" s="272" t="str">
        <f t="shared" si="41"/>
        <v/>
      </c>
      <c r="I48" s="272" t="str">
        <f t="shared" si="41"/>
        <v/>
      </c>
      <c r="J48" s="272" t="str">
        <f t="shared" si="41"/>
        <v/>
      </c>
      <c r="K48" s="272" t="str">
        <f t="shared" si="41"/>
        <v/>
      </c>
      <c r="L48" s="272" t="str">
        <f t="shared" si="41"/>
        <v/>
      </c>
      <c r="M48" s="272" t="str">
        <f t="shared" si="41"/>
        <v/>
      </c>
      <c r="N48" s="87"/>
    </row>
    <row r="49" spans="1:14" ht="15.75" customHeight="1" x14ac:dyDescent="0.4">
      <c r="A49" s="4"/>
      <c r="B49" s="94" t="s">
        <v>255</v>
      </c>
      <c r="C49" s="153">
        <f t="shared" ref="C49:M49" si="42">IF(C28="","",C28/C6)</f>
        <v>0.11203000770618693</v>
      </c>
      <c r="D49" s="153" t="str">
        <f t="shared" si="42"/>
        <v/>
      </c>
      <c r="E49" s="153" t="str">
        <f t="shared" si="42"/>
        <v/>
      </c>
      <c r="F49" s="153" t="str">
        <f t="shared" si="42"/>
        <v/>
      </c>
      <c r="G49" s="153" t="str">
        <f t="shared" si="42"/>
        <v/>
      </c>
      <c r="H49" s="153" t="str">
        <f t="shared" si="42"/>
        <v/>
      </c>
      <c r="I49" s="153" t="str">
        <f t="shared" si="42"/>
        <v/>
      </c>
      <c r="J49" s="153" t="str">
        <f t="shared" si="42"/>
        <v/>
      </c>
      <c r="K49" s="153" t="str">
        <f t="shared" si="42"/>
        <v/>
      </c>
      <c r="L49" s="153" t="str">
        <f t="shared" si="42"/>
        <v/>
      </c>
      <c r="M49" s="153" t="str">
        <f t="shared" si="42"/>
        <v/>
      </c>
      <c r="N49" s="87"/>
    </row>
    <row r="50" spans="1:14" ht="15.75" customHeight="1" x14ac:dyDescent="0.4">
      <c r="A50" s="4"/>
      <c r="B50" s="94" t="s">
        <v>256</v>
      </c>
      <c r="C50" s="153">
        <f t="shared" ref="C50:M50" si="43">IF(C29="","",C29/C6)</f>
        <v>9.7865479067953717E-2</v>
      </c>
      <c r="D50" s="153" t="str">
        <f t="shared" si="43"/>
        <v/>
      </c>
      <c r="E50" s="153" t="str">
        <f t="shared" si="43"/>
        <v/>
      </c>
      <c r="F50" s="153" t="str">
        <f t="shared" si="43"/>
        <v/>
      </c>
      <c r="G50" s="153" t="str">
        <f t="shared" si="43"/>
        <v/>
      </c>
      <c r="H50" s="153" t="str">
        <f t="shared" si="43"/>
        <v/>
      </c>
      <c r="I50" s="153" t="str">
        <f t="shared" si="43"/>
        <v/>
      </c>
      <c r="J50" s="153" t="str">
        <f t="shared" si="43"/>
        <v/>
      </c>
      <c r="K50" s="153" t="str">
        <f t="shared" si="43"/>
        <v/>
      </c>
      <c r="L50" s="153" t="str">
        <f t="shared" si="43"/>
        <v/>
      </c>
      <c r="M50" s="153" t="str">
        <f t="shared" si="43"/>
        <v/>
      </c>
      <c r="N50" s="87"/>
    </row>
    <row r="51" spans="1:14" ht="15.75" customHeight="1" x14ac:dyDescent="0.4">
      <c r="A51" s="4"/>
      <c r="B51" s="94" t="s">
        <v>246</v>
      </c>
      <c r="C51" s="153">
        <f t="shared" ref="C51:M51" si="44">IF(D6="","",C16/(C6-D6))</f>
        <v>-1.0019710323355846</v>
      </c>
      <c r="D51" s="153">
        <f t="shared" si="44"/>
        <v>0.15765272743621306</v>
      </c>
      <c r="E51" s="153" t="e">
        <f t="shared" si="44"/>
        <v>#VALUE!</v>
      </c>
      <c r="F51" s="153" t="e">
        <f t="shared" si="44"/>
        <v>#VALUE!</v>
      </c>
      <c r="G51" s="153" t="str">
        <f t="shared" si="44"/>
        <v/>
      </c>
      <c r="H51" s="153" t="str">
        <f t="shared" si="44"/>
        <v/>
      </c>
      <c r="I51" s="153" t="str">
        <f t="shared" si="44"/>
        <v/>
      </c>
      <c r="J51" s="153" t="str">
        <f t="shared" si="44"/>
        <v/>
      </c>
      <c r="K51" s="153" t="str">
        <f t="shared" si="44"/>
        <v/>
      </c>
      <c r="L51" s="153" t="str">
        <f t="shared" si="44"/>
        <v/>
      </c>
      <c r="M51" s="153" t="str">
        <f t="shared" si="44"/>
        <v/>
      </c>
      <c r="N51" s="87"/>
    </row>
    <row r="52" spans="1:14" ht="15.75" customHeight="1" x14ac:dyDescent="0.4">
      <c r="A52" s="16"/>
      <c r="B52" s="102" t="s">
        <v>249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250</v>
      </c>
      <c r="C53" s="156" t="e">
        <f t="shared" ref="C53:M53" si="45">IF(C34="","",(C34-C35)/C27)</f>
        <v>#DIV/0!</v>
      </c>
      <c r="D53" s="156">
        <f t="shared" si="45"/>
        <v>0.79148453550900877</v>
      </c>
      <c r="E53" s="156">
        <f t="shared" si="45"/>
        <v>0.80092421961656579</v>
      </c>
      <c r="F53" s="156">
        <f t="shared" si="45"/>
        <v>0.15447921169017712</v>
      </c>
      <c r="G53" s="156">
        <f t="shared" si="45"/>
        <v>1.0856457516747362E-2</v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4">
      <c r="A54" s="4"/>
      <c r="B54" s="94" t="s">
        <v>116</v>
      </c>
      <c r="C54" s="157">
        <f t="shared" ref="C54:M54" si="46">IF(OR(C22="",C33=""),"",IF(C33&lt;=0,"-",C22/C33))</f>
        <v>2.369393217447572</v>
      </c>
      <c r="D54" s="157">
        <f t="shared" si="46"/>
        <v>-1.2060310581437341</v>
      </c>
      <c r="E54" s="157">
        <f t="shared" si="46"/>
        <v>5.3942585015762292</v>
      </c>
      <c r="F54" s="157">
        <f t="shared" si="46"/>
        <v>0.92325313885928983</v>
      </c>
      <c r="G54" s="157">
        <f t="shared" si="46"/>
        <v>20.080950024740229</v>
      </c>
      <c r="H54" s="157" t="str">
        <f t="shared" si="46"/>
        <v/>
      </c>
      <c r="I54" s="157" t="str">
        <f t="shared" si="46"/>
        <v/>
      </c>
      <c r="J54" s="157" t="str">
        <f t="shared" si="46"/>
        <v/>
      </c>
      <c r="K54" s="157" t="str">
        <f t="shared" si="46"/>
        <v/>
      </c>
      <c r="L54" s="157" t="str">
        <f t="shared" si="46"/>
        <v/>
      </c>
      <c r="M54" s="157" t="str">
        <f t="shared" si="46"/>
        <v/>
      </c>
    </row>
    <row r="55" spans="1:14" ht="15.75" customHeight="1" x14ac:dyDescent="0.4">
      <c r="A55" s="4"/>
      <c r="B55" s="94" t="s">
        <v>118</v>
      </c>
      <c r="C55" s="153">
        <f t="shared" ref="C55:M55" si="47">IF(C22="","",IF(MAX(C17,0)&lt;=0,"-",C17/C22))</f>
        <v>1.2450811226833175E-2</v>
      </c>
      <c r="D55" s="153">
        <f t="shared" si="47"/>
        <v>-4.3070319908169882E-2</v>
      </c>
      <c r="E55" s="153">
        <f t="shared" si="47"/>
        <v>2.0056451512626985E-2</v>
      </c>
      <c r="F55" s="153">
        <f t="shared" si="47"/>
        <v>9.3355027935918562E-3</v>
      </c>
      <c r="G55" s="153">
        <f t="shared" si="47"/>
        <v>1.4735016114883846E-3</v>
      </c>
      <c r="H55" s="153" t="str">
        <f t="shared" si="47"/>
        <v/>
      </c>
      <c r="I55" s="153" t="str">
        <f t="shared" si="47"/>
        <v/>
      </c>
      <c r="J55" s="153" t="str">
        <f t="shared" si="47"/>
        <v/>
      </c>
      <c r="K55" s="153" t="str">
        <f t="shared" si="47"/>
        <v/>
      </c>
      <c r="L55" s="153" t="str">
        <f t="shared" si="47"/>
        <v/>
      </c>
      <c r="M55" s="153" t="str">
        <f t="shared" si="47"/>
        <v/>
      </c>
    </row>
    <row r="56" spans="1:14" ht="15.75" customHeight="1" x14ac:dyDescent="0.4">
      <c r="A56" s="4"/>
      <c r="B56" s="98" t="s">
        <v>19</v>
      </c>
      <c r="C56" s="158" t="e">
        <f>IF(#REF!="","",#REF!/C30)</f>
        <v>#REF!</v>
      </c>
      <c r="D56" s="158" t="e">
        <f>IF(#REF!="","",#REF!/D30)</f>
        <v>#REF!</v>
      </c>
      <c r="E56" s="158" t="e">
        <f>IF(#REF!="","",#REF!/E30)</f>
        <v>#REF!</v>
      </c>
      <c r="F56" s="158" t="e">
        <f>IF(#REF!="","",#REF!/F30)</f>
        <v>#REF!</v>
      </c>
      <c r="G56" s="158" t="e">
        <f>IF(#REF!="","",#REF!/G30)</f>
        <v>#REF!</v>
      </c>
      <c r="H56" s="158" t="e">
        <f>IF(#REF!="","",#REF!/H30)</f>
        <v>#REF!</v>
      </c>
      <c r="I56" s="158" t="e">
        <f>IF(#REF!="","",#REF!/I30)</f>
        <v>#REF!</v>
      </c>
      <c r="J56" s="158" t="e">
        <f>IF(#REF!="","",#REF!/J30)</f>
        <v>#REF!</v>
      </c>
      <c r="K56" s="158" t="e">
        <f>IF(#REF!="","",#REF!/K30)</f>
        <v>#REF!</v>
      </c>
      <c r="L56" s="158" t="e">
        <f>IF(#REF!="","",#REF!/L30)</f>
        <v>#REF!</v>
      </c>
      <c r="M56" s="158" t="e">
        <f>IF(#REF!="","",#REF!/M30)</f>
        <v>#REF!</v>
      </c>
    </row>
    <row r="57" spans="1:14" ht="15.75" customHeight="1" x14ac:dyDescent="0.4">
      <c r="A57" s="16"/>
      <c r="B57" s="102" t="s">
        <v>251</v>
      </c>
      <c r="C57" s="273" t="str">
        <f t="shared" ref="C57:M57" si="48">IFERROR(IF(C13*C48*(1/C53)=C58,"","Error"),"")</f>
        <v/>
      </c>
      <c r="D57" s="273" t="str">
        <f t="shared" si="48"/>
        <v/>
      </c>
      <c r="E57" s="273" t="str">
        <f t="shared" si="48"/>
        <v/>
      </c>
      <c r="F57" s="273" t="str">
        <f t="shared" si="48"/>
        <v/>
      </c>
      <c r="G57" s="273" t="str">
        <f t="shared" si="48"/>
        <v/>
      </c>
      <c r="H57" s="273" t="str">
        <f t="shared" si="48"/>
        <v/>
      </c>
      <c r="I57" s="273" t="str">
        <f t="shared" si="48"/>
        <v/>
      </c>
      <c r="J57" s="273" t="str">
        <f t="shared" si="48"/>
        <v/>
      </c>
      <c r="K57" s="273" t="str">
        <f t="shared" si="48"/>
        <v/>
      </c>
      <c r="L57" s="273" t="str">
        <f t="shared" si="48"/>
        <v/>
      </c>
      <c r="M57" s="273" t="str">
        <f t="shared" si="48"/>
        <v/>
      </c>
    </row>
    <row r="58" spans="1:14" ht="15.75" customHeight="1" x14ac:dyDescent="0.4">
      <c r="A58" s="4"/>
      <c r="B58" s="271" t="s">
        <v>252</v>
      </c>
      <c r="C58" s="274" t="e">
        <f t="shared" ref="C58:M58" si="49">IF(C14="","",C14/(C34-C35))</f>
        <v>#DIV/0!</v>
      </c>
      <c r="D58" s="274">
        <f t="shared" si="49"/>
        <v>4.7279796654279974E-4</v>
      </c>
      <c r="E58" s="274">
        <f t="shared" si="49"/>
        <v>3.0008475503162126E-2</v>
      </c>
      <c r="F58" s="274">
        <f t="shared" si="49"/>
        <v>1.1545980515259548</v>
      </c>
      <c r="G58" s="274">
        <f t="shared" si="49"/>
        <v>15.355674777089316</v>
      </c>
      <c r="H58" s="274" t="str">
        <f t="shared" si="49"/>
        <v/>
      </c>
      <c r="I58" s="274" t="str">
        <f t="shared" si="49"/>
        <v/>
      </c>
      <c r="J58" s="274" t="str">
        <f t="shared" si="49"/>
        <v/>
      </c>
      <c r="K58" s="274" t="str">
        <f t="shared" si="49"/>
        <v/>
      </c>
      <c r="L58" s="274" t="str">
        <f t="shared" si="49"/>
        <v/>
      </c>
      <c r="M58" s="274" t="str">
        <f t="shared" si="49"/>
        <v/>
      </c>
    </row>
    <row r="59" spans="1:14" ht="15.75" customHeight="1" x14ac:dyDescent="0.4">
      <c r="A59" s="4"/>
      <c r="B59" s="271" t="s">
        <v>253</v>
      </c>
      <c r="C59" s="274" t="e">
        <f t="shared" ref="C59:M59" si="50">IF(C22="","",C22/(C34-C35))</f>
        <v>#DIV/0!</v>
      </c>
      <c r="D59" s="274">
        <f t="shared" si="50"/>
        <v>-7.1122018435571159E-3</v>
      </c>
      <c r="E59" s="274">
        <f t="shared" si="50"/>
        <v>2.9418445869993756E-2</v>
      </c>
      <c r="F59" s="274">
        <f t="shared" si="50"/>
        <v>1.143918992575127</v>
      </c>
      <c r="G59" s="274">
        <f t="shared" si="50"/>
        <v>15.333081456853559</v>
      </c>
      <c r="H59" s="274" t="str">
        <f t="shared" si="50"/>
        <v/>
      </c>
      <c r="I59" s="274" t="str">
        <f t="shared" si="50"/>
        <v/>
      </c>
      <c r="J59" s="274" t="str">
        <f t="shared" si="50"/>
        <v/>
      </c>
      <c r="K59" s="274" t="str">
        <f t="shared" si="50"/>
        <v/>
      </c>
      <c r="L59" s="274" t="str">
        <f t="shared" si="50"/>
        <v/>
      </c>
      <c r="M59" s="274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3027292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3023302</v>
      </c>
      <c r="K3" s="24"/>
    </row>
    <row r="4" spans="1:11" ht="15" customHeight="1" x14ac:dyDescent="0.4">
      <c r="B4" s="3" t="s">
        <v>23</v>
      </c>
      <c r="C4" s="87"/>
      <c r="D4" s="65">
        <f>D3-I3</f>
        <v>3990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>
        <f>C28/I28</f>
        <v>4.8753437887604978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 t="e">
        <f>(E49-I49-E53)</f>
        <v>#DIV/0!</v>
      </c>
      <c r="E6" s="56" t="e">
        <f>1-D6/D3</f>
        <v>#DIV/0!</v>
      </c>
      <c r="F6" s="87"/>
      <c r="G6" s="87"/>
      <c r="H6" s="1" t="s">
        <v>26</v>
      </c>
      <c r="I6" s="63">
        <f>(C24+C25)/I28</f>
        <v>4.6073037646401307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 t="e">
        <f>MAX((D6*Exchange_Rate*Data!C4)/Common_Shares, 0)</f>
        <v>#DIV/0!</v>
      </c>
      <c r="E7" s="11" t="str">
        <f>Dashboard!H3</f>
        <v>HKD</v>
      </c>
      <c r="H7" s="1" t="s">
        <v>27</v>
      </c>
      <c r="I7" s="63">
        <f>C24/I28</f>
        <v>4.1937751151682132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2385307</v>
      </c>
      <c r="D11" s="198">
        <f>Inputs!D48</f>
        <v>0.9</v>
      </c>
      <c r="E11" s="88">
        <f t="shared" ref="E11:E22" si="0">C11*D11</f>
        <v>2146776.3000000003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13416</v>
      </c>
      <c r="J12" s="87"/>
      <c r="K12" s="24"/>
    </row>
    <row r="13" spans="1:11" ht="13.9" x14ac:dyDescent="0.4">
      <c r="B13" s="3" t="s">
        <v>112</v>
      </c>
      <c r="C13" s="40">
        <f>Inputs!C50</f>
        <v>180994</v>
      </c>
      <c r="D13" s="198">
        <f>Inputs!D50</f>
        <v>0.6</v>
      </c>
      <c r="E13" s="88">
        <f t="shared" si="0"/>
        <v>108596.4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253051</v>
      </c>
      <c r="D15" s="198">
        <f>Inputs!D52</f>
        <v>0.5</v>
      </c>
      <c r="E15" s="88">
        <f t="shared" si="0"/>
        <v>126525.5</v>
      </c>
      <c r="F15" s="112"/>
      <c r="G15" s="87"/>
      <c r="H15" s="1" t="s">
        <v>50</v>
      </c>
      <c r="I15" s="84">
        <f>SUM(I11:I14)</f>
        <v>13416</v>
      </c>
      <c r="J15" s="87"/>
    </row>
    <row r="16" spans="1:11" ht="13.9" x14ac:dyDescent="0.4">
      <c r="B16" s="1" t="s">
        <v>150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158110</v>
      </c>
      <c r="D18" s="198">
        <f>Inputs!D55</f>
        <v>0.5</v>
      </c>
      <c r="E18" s="88">
        <f t="shared" si="0"/>
        <v>79055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5912</v>
      </c>
      <c r="D21" s="198">
        <f>Inputs!D58</f>
        <v>0.9</v>
      </c>
      <c r="E21" s="88">
        <f t="shared" si="0"/>
        <v>5320.8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598515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2566301</v>
      </c>
      <c r="D24" s="62">
        <f>IF(E24=0,0,E24/C24)</f>
        <v>0.87884184279240829</v>
      </c>
      <c r="E24" s="88">
        <f>SUM(E11:E14)</f>
        <v>2255372.7000000002</v>
      </c>
      <c r="F24" s="113">
        <f>E24/$E$28</f>
        <v>0.91448586004636967</v>
      </c>
      <c r="G24" s="87"/>
    </row>
    <row r="25" spans="2:10" ht="15" customHeight="1" x14ac:dyDescent="0.4">
      <c r="B25" s="23" t="s">
        <v>51</v>
      </c>
      <c r="C25" s="61">
        <f>SUM(C15:C17)</f>
        <v>253051</v>
      </c>
      <c r="D25" s="62">
        <f>IF(E25=0,0,E25/C25)</f>
        <v>0.5</v>
      </c>
      <c r="E25" s="88">
        <f>SUM(E15:E17)</f>
        <v>126525.5</v>
      </c>
      <c r="F25" s="113">
        <f>E25/$E$28</f>
        <v>5.1302288391314184E-2</v>
      </c>
      <c r="G25" s="87"/>
      <c r="H25" s="23" t="s">
        <v>52</v>
      </c>
      <c r="I25" s="63">
        <f>E28/I28</f>
        <v>4.0303138752571774</v>
      </c>
    </row>
    <row r="26" spans="2:10" ht="15" customHeight="1" x14ac:dyDescent="0.4">
      <c r="B26" s="23" t="s">
        <v>53</v>
      </c>
      <c r="C26" s="61">
        <f>C18+C19+C20</f>
        <v>158110</v>
      </c>
      <c r="D26" s="62">
        <f>IF(E26=0,0,E26/C26)</f>
        <v>0.5</v>
      </c>
      <c r="E26" s="88">
        <f>E18+E19+E20</f>
        <v>79055</v>
      </c>
      <c r="F26" s="113">
        <f>E26/$E$28</f>
        <v>3.2054427042575155E-2</v>
      </c>
      <c r="G26" s="87"/>
      <c r="H26" s="23" t="s">
        <v>54</v>
      </c>
      <c r="I26" s="63">
        <f>E24/($I$28-I22)</f>
        <v>168.11066636851521</v>
      </c>
      <c r="J26" s="8" t="str">
        <f>IF(I26&lt;1,"Liquidity Problem!","")</f>
        <v/>
      </c>
    </row>
    <row r="27" spans="2:10" ht="15" customHeight="1" x14ac:dyDescent="0.4">
      <c r="B27" s="23" t="s">
        <v>55</v>
      </c>
      <c r="C27" s="77">
        <f>C21+C22</f>
        <v>5912</v>
      </c>
      <c r="D27" s="62">
        <f>IF(E27=0,0,E27/C27)</f>
        <v>0.9</v>
      </c>
      <c r="E27" s="88">
        <f>E21+E22</f>
        <v>5320.8</v>
      </c>
      <c r="F27" s="113">
        <f>E27/$E$28</f>
        <v>2.1574245197411158E-3</v>
      </c>
      <c r="G27" s="87"/>
      <c r="H27" s="23" t="s">
        <v>56</v>
      </c>
      <c r="I27" s="63">
        <f>(E25+E24)/$I$28</f>
        <v>3.8924293752073358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2983374</v>
      </c>
      <c r="D28" s="57">
        <f>E28/C28</f>
        <v>0.82667275373453009</v>
      </c>
      <c r="E28" s="70">
        <f>SUM(E24:E27)</f>
        <v>2466274</v>
      </c>
      <c r="F28" s="112"/>
      <c r="G28" s="87"/>
      <c r="H28" s="78" t="s">
        <v>15</v>
      </c>
      <c r="I28" s="206">
        <f>Inputs!C77</f>
        <v>611931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279425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126127</v>
      </c>
      <c r="D31" s="198">
        <f>Inputs!D61</f>
        <v>0.6</v>
      </c>
      <c r="E31" s="88">
        <f t="shared" ref="E31:E42" si="1">C31*D31</f>
        <v>75676.2</v>
      </c>
      <c r="F31" s="112"/>
      <c r="G31" s="87"/>
      <c r="H31" s="3" t="s">
        <v>60</v>
      </c>
      <c r="I31" s="40">
        <f>Inputs!C79</f>
        <v>20583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20583</v>
      </c>
      <c r="J34" s="87"/>
    </row>
    <row r="35" spans="2:10" ht="13.9" x14ac:dyDescent="0.4">
      <c r="B35" s="3" t="s">
        <v>66</v>
      </c>
      <c r="C35" s="40">
        <f>Inputs!C65</f>
        <v>1500</v>
      </c>
      <c r="D35" s="198">
        <f>Inputs!D65</f>
        <v>0.1</v>
      </c>
      <c r="E35" s="88">
        <f t="shared" si="1"/>
        <v>150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193915</v>
      </c>
      <c r="D38" s="198">
        <f>Inputs!D68</f>
        <v>0.1</v>
      </c>
      <c r="E38" s="88">
        <f t="shared" si="1"/>
        <v>19391.5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9704</v>
      </c>
      <c r="D40" s="198">
        <f>Inputs!D70</f>
        <v>0.05</v>
      </c>
      <c r="E40" s="88">
        <f t="shared" si="1"/>
        <v>485.20000000000005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76124</v>
      </c>
      <c r="D41" s="198">
        <f>Inputs!D71</f>
        <v>0.9</v>
      </c>
      <c r="E41" s="88">
        <f t="shared" si="1"/>
        <v>68511.600000000006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10363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405552</v>
      </c>
      <c r="D44" s="62">
        <f>IF(E44=0,0,E44/C44)</f>
        <v>0.18660048526452833</v>
      </c>
      <c r="E44" s="88">
        <f>SUM(E30:E31)</f>
        <v>75676.2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1500</v>
      </c>
      <c r="D45" s="62">
        <f>IF(E45=0,0,E45/C45)</f>
        <v>0.1</v>
      </c>
      <c r="E45" s="88">
        <f>SUM(E32:E35)</f>
        <v>150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193915</v>
      </c>
      <c r="D46" s="62">
        <f>IF(E46=0,0,E46/C46)</f>
        <v>0.1</v>
      </c>
      <c r="E46" s="88">
        <f>E36+E37+E38+E39</f>
        <v>19391.5</v>
      </c>
      <c r="F46" s="87"/>
      <c r="G46" s="87"/>
      <c r="H46" s="23" t="s">
        <v>77</v>
      </c>
      <c r="I46" s="63">
        <f>(E44+E24)/E64</f>
        <v>68.562278302303014</v>
      </c>
      <c r="J46" s="8" t="str">
        <f>IF(I46&lt;1,"Liquidity Problem!","")</f>
        <v/>
      </c>
    </row>
    <row r="47" spans="2:10" ht="15" customHeight="1" x14ac:dyDescent="0.4">
      <c r="B47" s="23" t="s">
        <v>78</v>
      </c>
      <c r="C47" s="61">
        <f>C40+C41+C42</f>
        <v>85828</v>
      </c>
      <c r="D47" s="62">
        <f>IF(E47=0,0,E47/C47)</f>
        <v>0.80389616442186707</v>
      </c>
      <c r="E47" s="88">
        <f>E40+E41+E42</f>
        <v>68996.800000000003</v>
      </c>
      <c r="F47" s="87"/>
      <c r="G47" s="87"/>
      <c r="H47" s="23" t="s">
        <v>79</v>
      </c>
      <c r="I47" s="63">
        <f>(E44+E45+E24+E25)/$I$49</f>
        <v>3.8230087559517614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80</v>
      </c>
      <c r="C48" s="81">
        <f>SUM(C30:C42)</f>
        <v>686795</v>
      </c>
      <c r="D48" s="82">
        <f>E48/C48</f>
        <v>0.23910264343799822</v>
      </c>
      <c r="E48" s="76">
        <f>SUM(E30:E42)</f>
        <v>164214.5</v>
      </c>
      <c r="F48" s="87"/>
      <c r="G48" s="87"/>
      <c r="H48" s="80" t="s">
        <v>81</v>
      </c>
      <c r="I48" s="207">
        <f>Inputs!C82</f>
        <v>30946</v>
      </c>
      <c r="J48" s="8"/>
    </row>
    <row r="49" spans="2:11" ht="15" customHeight="1" thickTop="1" x14ac:dyDescent="0.4">
      <c r="B49" s="3" t="s">
        <v>13</v>
      </c>
      <c r="C49" s="61">
        <f>C28+C48</f>
        <v>3670169</v>
      </c>
      <c r="D49" s="56">
        <f>E49/C49</f>
        <v>0.71672135533813297</v>
      </c>
      <c r="E49" s="88">
        <f>E28+E48</f>
        <v>2630488.5</v>
      </c>
      <c r="F49" s="87"/>
      <c r="G49" s="87"/>
      <c r="H49" s="3" t="s">
        <v>82</v>
      </c>
      <c r="I49" s="52">
        <f>I28+I48</f>
        <v>642877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e">
        <f>IF(E53=D4,"BV of the MI","P/B Approach")</f>
        <v>#DIV/0!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3990</v>
      </c>
      <c r="D53" s="29" t="e">
        <f>IF(E53=0, 0,E53/C53)</f>
        <v>#DIV/0!</v>
      </c>
      <c r="E53" s="88" t="e">
        <f>IF(C53=0,0,MAX(C53,C53*Dashboard!G23))</f>
        <v>#DIV/0!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33999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380678</v>
      </c>
      <c r="D61" s="56">
        <f t="shared" ref="D61:D70" si="2">IF(E61=0,0,E61/C61)</f>
        <v>0.53155606575636105</v>
      </c>
      <c r="E61" s="52">
        <f>E14+E15+(E19*G19)+(E20*G20)+E31+E32+(E35*G35)+(E36*G36)+(E37*G37)</f>
        <v>202351.7</v>
      </c>
      <c r="F61" s="87"/>
      <c r="G61" s="87"/>
      <c r="I61" s="87"/>
      <c r="K61" s="33"/>
    </row>
    <row r="62" spans="2:11" ht="13.9" x14ac:dyDescent="0.4">
      <c r="B62" s="35" t="s">
        <v>134</v>
      </c>
      <c r="C62" s="117">
        <f>C11+C30</f>
        <v>2664732</v>
      </c>
      <c r="D62" s="107">
        <f t="shared" si="2"/>
        <v>0.80562559386835164</v>
      </c>
      <c r="E62" s="118">
        <f>E11+E30</f>
        <v>2146776.3000000003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3045410</v>
      </c>
      <c r="D63" s="29">
        <f t="shared" si="2"/>
        <v>0.77136674536433536</v>
      </c>
      <c r="E63" s="61">
        <f>E61+E62</f>
        <v>2349128.0000000005</v>
      </c>
      <c r="F63" s="87"/>
      <c r="G63" s="87"/>
      <c r="I63" s="87"/>
      <c r="K63" s="33"/>
    </row>
    <row r="64" spans="2:11" ht="14.25" thickBot="1" x14ac:dyDescent="0.45">
      <c r="B64" s="121" t="s">
        <v>143</v>
      </c>
      <c r="C64" s="208"/>
      <c r="D64" s="208"/>
      <c r="E64" s="69">
        <f>D56+D57+D58</f>
        <v>33999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3011411</v>
      </c>
      <c r="D65" s="29">
        <f t="shared" si="2"/>
        <v>0.76878546302713258</v>
      </c>
      <c r="E65" s="61">
        <f>E63-E64</f>
        <v>2315129.0000000005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624759</v>
      </c>
      <c r="D68" s="29">
        <f t="shared" si="2"/>
        <v>0.45035045513549948</v>
      </c>
      <c r="E68" s="68">
        <f>E49-E63</f>
        <v>281360.49999999953</v>
      </c>
      <c r="F68" s="87"/>
      <c r="G68" s="87"/>
      <c r="I68" s="87"/>
      <c r="K68" s="33"/>
    </row>
    <row r="69" spans="1:11" ht="14.25" thickBot="1" x14ac:dyDescent="0.45">
      <c r="B69" s="121" t="s">
        <v>144</v>
      </c>
      <c r="C69" s="208"/>
      <c r="D69" s="208"/>
      <c r="E69" s="126">
        <f>I49-E64</f>
        <v>608878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15881</v>
      </c>
      <c r="D70" s="29">
        <f t="shared" si="2"/>
        <v>-20.62322901580508</v>
      </c>
      <c r="E70" s="68">
        <f>E68-E69</f>
        <v>-327517.50000000047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1615585</v>
      </c>
      <c r="D74" s="209"/>
      <c r="E74" s="238">
        <f>Inputs!E91</f>
        <v>1615585</v>
      </c>
      <c r="F74" s="209"/>
      <c r="H74" s="238">
        <f>Inputs!F91</f>
        <v>1615585</v>
      </c>
      <c r="I74" s="209"/>
      <c r="K74" s="24"/>
    </row>
    <row r="75" spans="1:11" ht="15" customHeight="1" x14ac:dyDescent="0.4">
      <c r="B75" s="104" t="s">
        <v>102</v>
      </c>
      <c r="C75" s="77">
        <f>Data!C8</f>
        <v>897327</v>
      </c>
      <c r="D75" s="159">
        <f>C75/$C$74</f>
        <v>0.55541924442229906</v>
      </c>
      <c r="E75" s="238">
        <f>Inputs!E92</f>
        <v>897327</v>
      </c>
      <c r="F75" s="160">
        <f>E75/E74</f>
        <v>0.55541924442229906</v>
      </c>
      <c r="H75" s="238">
        <f>Inputs!F92</f>
        <v>897327</v>
      </c>
      <c r="I75" s="160">
        <f>H75/$H$74</f>
        <v>0.55541924442229906</v>
      </c>
      <c r="K75" s="24"/>
    </row>
    <row r="76" spans="1:11" ht="15" customHeight="1" x14ac:dyDescent="0.4">
      <c r="B76" s="35" t="s">
        <v>92</v>
      </c>
      <c r="C76" s="161">
        <f>C74-C75</f>
        <v>718258</v>
      </c>
      <c r="D76" s="210"/>
      <c r="E76" s="162">
        <f>E74-E75</f>
        <v>718258</v>
      </c>
      <c r="F76" s="210"/>
      <c r="H76" s="162">
        <f>H74-H75</f>
        <v>718258</v>
      </c>
      <c r="I76" s="210"/>
      <c r="K76" s="24"/>
    </row>
    <row r="77" spans="1:11" ht="15" customHeight="1" x14ac:dyDescent="0.4">
      <c r="B77" s="104" t="s">
        <v>231</v>
      </c>
      <c r="C77" s="77">
        <f>Data!C10+MAX(Data!C11,0)</f>
        <v>613104</v>
      </c>
      <c r="D77" s="159">
        <f>C77/$C$74</f>
        <v>0.37949349616392825</v>
      </c>
      <c r="E77" s="238">
        <f>Inputs!E93</f>
        <v>613104</v>
      </c>
      <c r="F77" s="160">
        <f>E77/E74</f>
        <v>0.37949349616392825</v>
      </c>
      <c r="H77" s="238">
        <f>Inputs!F93</f>
        <v>613104</v>
      </c>
      <c r="I77" s="160">
        <f>H77/$H$74</f>
        <v>0.37949349616392825</v>
      </c>
      <c r="K77" s="24"/>
    </row>
    <row r="78" spans="1:11" ht="15" customHeight="1" x14ac:dyDescent="0.4">
      <c r="B78" s="73" t="s">
        <v>161</v>
      </c>
      <c r="C78" s="77">
        <f>MAX(Data!C12,0)</f>
        <v>2932</v>
      </c>
      <c r="D78" s="159">
        <f>C78/$C$74</f>
        <v>1.8148224946381651E-3</v>
      </c>
      <c r="E78" s="180">
        <f>E74*F78</f>
        <v>2932</v>
      </c>
      <c r="F78" s="160">
        <f>I78</f>
        <v>1.8148224946381651E-3</v>
      </c>
      <c r="H78" s="238">
        <f>Inputs!F97</f>
        <v>2932</v>
      </c>
      <c r="I78" s="160">
        <f>H78/$H$74</f>
        <v>1.8148224946381651E-3</v>
      </c>
      <c r="K78" s="24"/>
    </row>
    <row r="79" spans="1:11" ht="15" customHeight="1" x14ac:dyDescent="0.4">
      <c r="B79" s="256" t="s">
        <v>218</v>
      </c>
      <c r="C79" s="257">
        <f>C76-C77-C78</f>
        <v>102222</v>
      </c>
      <c r="D79" s="258">
        <f>C79/C74</f>
        <v>6.3272436919134561E-2</v>
      </c>
      <c r="E79" s="259">
        <f>E76-E77-E78</f>
        <v>102222</v>
      </c>
      <c r="F79" s="258">
        <f>E79/E74</f>
        <v>6.3272436919134561E-2</v>
      </c>
      <c r="G79" s="260"/>
      <c r="H79" s="259">
        <f>H76-H77-H78</f>
        <v>102222</v>
      </c>
      <c r="I79" s="258">
        <f>H79/H74</f>
        <v>6.3272436919134561E-2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126</v>
      </c>
    </row>
    <row r="81" spans="1:11" ht="15" customHeight="1" x14ac:dyDescent="0.4">
      <c r="B81" s="104" t="s">
        <v>239</v>
      </c>
      <c r="C81" s="77">
        <f>MAX(Data!C17,0)</f>
        <v>1003</v>
      </c>
      <c r="D81" s="159">
        <f>C81/$C$74</f>
        <v>6.208277497005729E-4</v>
      </c>
      <c r="E81" s="180">
        <f>E74*F81</f>
        <v>1003.0000000000001</v>
      </c>
      <c r="F81" s="160">
        <f>I81</f>
        <v>6.208277497005729E-4</v>
      </c>
      <c r="H81" s="238">
        <f>Inputs!F94</f>
        <v>1003.0000000000001</v>
      </c>
      <c r="I81" s="160">
        <f>H81/$H$74</f>
        <v>6.208277497005729E-4</v>
      </c>
      <c r="K81" s="24"/>
    </row>
    <row r="82" spans="1:11" ht="15" customHeight="1" x14ac:dyDescent="0.4">
      <c r="B82" s="28" t="s">
        <v>230</v>
      </c>
      <c r="C82" s="77">
        <f>ABS(MAX(Data!C21,0)-MAX(Data!C19,0))</f>
        <v>20662</v>
      </c>
      <c r="D82" s="159">
        <f>C82/$C$74</f>
        <v>1.2789175437999239E-2</v>
      </c>
      <c r="E82" s="238">
        <f>Inputs!E95</f>
        <v>20662</v>
      </c>
      <c r="F82" s="160">
        <f>E82/E74</f>
        <v>1.2789175437999239E-2</v>
      </c>
      <c r="H82" s="238">
        <f>Inputs!F95</f>
        <v>20662</v>
      </c>
      <c r="I82" s="160">
        <f>H82/$H$74</f>
        <v>1.2789175437999239E-2</v>
      </c>
      <c r="K82" s="24"/>
    </row>
    <row r="83" spans="1:11" ht="15" customHeight="1" thickBot="1" x14ac:dyDescent="0.45">
      <c r="B83" s="105" t="s">
        <v>120</v>
      </c>
      <c r="C83" s="163">
        <f>C79-C81-C82-C80</f>
        <v>80557</v>
      </c>
      <c r="D83" s="164">
        <f>C83/$C$74</f>
        <v>4.9862433731434744E-2</v>
      </c>
      <c r="E83" s="165">
        <f>E79-E81-E82-E80</f>
        <v>80557</v>
      </c>
      <c r="F83" s="164">
        <f>E83/E74</f>
        <v>4.9862433731434744E-2</v>
      </c>
      <c r="H83" s="165">
        <f>H79-H81-H82-H80</f>
        <v>80557</v>
      </c>
      <c r="I83" s="164">
        <f>H83/$H$74</f>
        <v>4.9862433731434744E-2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156</v>
      </c>
      <c r="C85" s="257">
        <f>C83*(1-I84)</f>
        <v>60417.75</v>
      </c>
      <c r="D85" s="258">
        <f>C85/$C$74</f>
        <v>3.7396825298576054E-2</v>
      </c>
      <c r="E85" s="264">
        <f>E83*(1-F84)</f>
        <v>60417.75</v>
      </c>
      <c r="F85" s="258">
        <f>E85/E74</f>
        <v>3.7396825298576054E-2</v>
      </c>
      <c r="G85" s="260"/>
      <c r="H85" s="264">
        <f>H83*(1-I84)</f>
        <v>60417.75</v>
      </c>
      <c r="I85" s="258">
        <f>H85/$H$74</f>
        <v>3.7396825298576054E-2</v>
      </c>
      <c r="K85" s="24"/>
    </row>
    <row r="86" spans="1:11" ht="15" customHeight="1" x14ac:dyDescent="0.4">
      <c r="B86" s="87" t="s">
        <v>152</v>
      </c>
      <c r="C86" s="167">
        <f>C85*Data!C4/Common_Shares</f>
        <v>4.5313306835836648E-2</v>
      </c>
      <c r="D86" s="209"/>
      <c r="E86" s="168">
        <f>E85*Data!C4/Common_Shares</f>
        <v>4.5313306835836648E-2</v>
      </c>
      <c r="F86" s="209"/>
      <c r="H86" s="168">
        <f>H85*Data!C4/Common_Shares</f>
        <v>4.5313306835836648E-2</v>
      </c>
      <c r="I86" s="209"/>
      <c r="K86" s="24"/>
    </row>
    <row r="87" spans="1:11" ht="15" customHeight="1" x14ac:dyDescent="0.4">
      <c r="B87" s="87" t="s">
        <v>194</v>
      </c>
      <c r="C87" s="261">
        <f>C86*Exchange_Rate/Dashboard!G3</f>
        <v>2.5363423374420928E-2</v>
      </c>
      <c r="D87" s="209"/>
      <c r="E87" s="262">
        <f>E86*Exchange_Rate/Dashboard!G3</f>
        <v>2.5363423374420928E-2</v>
      </c>
      <c r="F87" s="209"/>
      <c r="H87" s="262">
        <f>H86*Exchange_Rate/Dashboard!G3</f>
        <v>2.5363423374420928E-2</v>
      </c>
      <c r="I87" s="209"/>
      <c r="K87" s="24"/>
    </row>
    <row r="88" spans="1:11" ht="15" customHeight="1" x14ac:dyDescent="0.4">
      <c r="B88" s="86" t="s">
        <v>193</v>
      </c>
      <c r="C88" s="169">
        <f>Inputs!C44</f>
        <v>0.1178</v>
      </c>
      <c r="D88" s="166">
        <f>C88/C86</f>
        <v>2.5996778479834153</v>
      </c>
      <c r="E88" s="170">
        <f>Inputs!E98</f>
        <v>0.1178</v>
      </c>
      <c r="F88" s="166">
        <f>E88/E86</f>
        <v>2.5996778479834153</v>
      </c>
      <c r="H88" s="170">
        <f>Inputs!F98</f>
        <v>0.1178</v>
      </c>
      <c r="I88" s="166">
        <f>H88/H86</f>
        <v>2.5996778479834153</v>
      </c>
      <c r="K88" s="24"/>
    </row>
    <row r="89" spans="1:11" ht="15" customHeight="1" x14ac:dyDescent="0.4">
      <c r="B89" s="87" t="s">
        <v>207</v>
      </c>
      <c r="C89" s="261">
        <f>C88*Exchange_Rate/Dashboard!G3</f>
        <v>6.5936729895506849E-2</v>
      </c>
      <c r="D89" s="209"/>
      <c r="E89" s="261">
        <f>E88*Exchange_Rate/Dashboard!G3</f>
        <v>6.5936729895506849E-2</v>
      </c>
      <c r="F89" s="209"/>
      <c r="H89" s="261">
        <f>H88*Exchange_Rate/Dashboard!G3</f>
        <v>6.5936729895506849E-2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8" t="str">
        <f>Inputs!C15</f>
        <v>CN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195</v>
      </c>
      <c r="F93" s="144">
        <f>FV(E87,D93,0,-(E86/(C93-D94)))*Exchange_Rate</f>
        <v>0.82878992344970315</v>
      </c>
      <c r="H93" s="87" t="s">
        <v>195</v>
      </c>
      <c r="I93" s="144">
        <f>FV(H87,D93,0,-(H86/(C93-D94)))*Exchange_Rate</f>
        <v>0.82878992344970315</v>
      </c>
      <c r="K93" s="24"/>
    </row>
    <row r="94" spans="1:11" ht="15" customHeight="1" x14ac:dyDescent="0.4">
      <c r="B94" s="1" t="s">
        <v>197</v>
      </c>
      <c r="C94" s="182">
        <f>Dashboard!G20</f>
        <v>0.15</v>
      </c>
      <c r="D94" s="270">
        <f>Inputs!D87</f>
        <v>0.02</v>
      </c>
      <c r="E94" s="87" t="s">
        <v>196</v>
      </c>
      <c r="F94" s="144">
        <f>FV(E89,D93,0,-(E88/(C93-D94)))*Exchange_Rate</f>
        <v>2.6159655833671596</v>
      </c>
      <c r="H94" s="87" t="s">
        <v>196</v>
      </c>
      <c r="I94" s="144">
        <f>FV(H89,D93,0,-(H88/(C93-D94)))*Exchange_Rate</f>
        <v>2.6159655833671596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199</v>
      </c>
      <c r="E96" s="183" t="str">
        <f>E72</f>
        <v>Pessimistic Case</v>
      </c>
      <c r="F96" s="227" t="s">
        <v>223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549406.82652763533</v>
      </c>
      <c r="D97" s="213"/>
      <c r="E97" s="123">
        <f>PV(C94,D93,0,-F93)</f>
        <v>0.41205506838884298</v>
      </c>
      <c r="F97" s="213"/>
      <c r="H97" s="123">
        <f>PV(C94,D93,0,-I93)</f>
        <v>0.41205506838884298</v>
      </c>
      <c r="I97" s="123">
        <f>PV(C93,D93,0,-I93)</f>
        <v>0.54801887262083049</v>
      </c>
      <c r="K97" s="24"/>
    </row>
    <row r="98" spans="2:11" ht="15" customHeight="1" x14ac:dyDescent="0.4">
      <c r="B98" s="28" t="s">
        <v>139</v>
      </c>
      <c r="C98" s="91" t="e">
        <f>-E53*Exchange_Rate</f>
        <v>#DIV/0!</v>
      </c>
      <c r="D98" s="213"/>
      <c r="E98" s="213"/>
      <c r="F98" s="213"/>
      <c r="H98" s="123" t="e">
        <f>C98*Data!$C$4/Common_Shares</f>
        <v>#DIV/0!</v>
      </c>
      <c r="I98" s="215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2124941.5194419622</v>
      </c>
      <c r="D99" s="214"/>
      <c r="E99" s="145">
        <f>IF(H99&gt;0,H99*(1-C94),H99*(1+C94))</f>
        <v>1.3546500493129947</v>
      </c>
      <c r="F99" s="214"/>
      <c r="H99" s="145">
        <f>C99*Data!$C$4/Common_Shares</f>
        <v>1.5937059403682292</v>
      </c>
      <c r="I99" s="216"/>
      <c r="K99" s="24"/>
    </row>
    <row r="100" spans="2:11" ht="15" customHeight="1" thickTop="1" x14ac:dyDescent="0.4">
      <c r="B100" s="1" t="s">
        <v>111</v>
      </c>
      <c r="C100" s="91" t="e">
        <f>C97+C98+$C$99</f>
        <v>#DIV/0!</v>
      </c>
      <c r="D100" s="109" t="e">
        <f>MIN(F100*(1-C94),E100)</f>
        <v>#DIV/0!</v>
      </c>
      <c r="E100" s="109" t="e">
        <f>MAX(E97+H98+E99,0)</f>
        <v>#DIV/0!</v>
      </c>
      <c r="F100" s="109" t="e">
        <f>(E100+H100)/2</f>
        <v>#DIV/0!</v>
      </c>
      <c r="H100" s="109" t="e">
        <f>MAX(C100*Data!$C$4/Common_Shares,0)</f>
        <v>#DIV/0!</v>
      </c>
      <c r="I100" s="109" t="e">
        <f>MAX(I97+H98+H99,0)</f>
        <v>#DIV/0!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7" t="str">
        <f>C96</f>
        <v>HKD</v>
      </c>
      <c r="D102" s="124" t="s">
        <v>199</v>
      </c>
      <c r="E102" s="183" t="str">
        <f>E96</f>
        <v>Pessimistic Case</v>
      </c>
      <c r="F102" s="227" t="s">
        <v>223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1734129.8546210993</v>
      </c>
      <c r="D103" s="109">
        <f>MIN(F103*(1-C94),E103)</f>
        <v>1.1055076441324951</v>
      </c>
      <c r="E103" s="123">
        <f>PV(C94,D93,0,-F94)</f>
        <v>1.3005972283911709</v>
      </c>
      <c r="F103" s="109">
        <f>(E103+H103)/2</f>
        <v>1.3005972283911709</v>
      </c>
      <c r="H103" s="123">
        <f>PV(C94,D93,0,-I94)</f>
        <v>1.3005972283911709</v>
      </c>
      <c r="I103" s="109">
        <f>PV(C93,D93,0,-I94)</f>
        <v>1.7297489620103532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7" t="str">
        <f>C102</f>
        <v>HKD</v>
      </c>
      <c r="D105" s="124" t="s">
        <v>199</v>
      </c>
      <c r="E105" s="184" t="str">
        <f>E96</f>
        <v>Pessimistic Case</v>
      </c>
      <c r="F105" s="227" t="s">
        <v>223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184</v>
      </c>
      <c r="C106" s="91" t="e">
        <f>E106*Common_Shares/Data!C4</f>
        <v>#DIV/0!</v>
      </c>
      <c r="D106" s="109" t="e">
        <f>(D100+D103)/2</f>
        <v>#DIV/0!</v>
      </c>
      <c r="E106" s="123" t="e">
        <f>(E100+E103)/2</f>
        <v>#DIV/0!</v>
      </c>
      <c r="F106" s="109" t="e">
        <f>(F100+F103)/2</f>
        <v>#DIV/0!</v>
      </c>
      <c r="H106" s="123" t="e">
        <f>(H100+H103)/2</f>
        <v>#DIV/0!</v>
      </c>
      <c r="I106" s="123" t="e">
        <f>(I100+I103)/2</f>
        <v>#DIV/0!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8" t="str">
        <f>Inputs!C87</f>
        <v>Avg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2024-12-16T09:23:54Z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