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B49D82A-61CD-474F-8659-8D0D8300A53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F92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<sst xmlns="http://schemas.openxmlformats.org/spreadsheetml/2006/main" count="389" uniqueCount="274">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</sst>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59085551061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270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0.1061429239943036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102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230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238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193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6818.HK</v>
      </c>
      <c r="D3" s="290"/>
      <c r="E3" s="87"/>
      <c r="F3" s="3" t="s">
        <v>1</v>
      </c>
      <c r="G3" s="132">
        <v>2.79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中国光大银行</v>
      </c>
      <c r="D4" s="292"/>
      <c r="E4" s="87"/>
      <c r="F4" s="3" t="s">
        <v>2</v>
      </c>
      <c r="G4" s="295">
        <f>Inputs!C10</f>
        <v>59085551061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164848.68746019001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0.64188522926402747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0.51643948647548221</v>
      </c>
      <c r="F24" s="140" t="s">
        <v>240</v>
      </c>
      <c r="G24" s="268">
        <f>G3/(Fin_Analysis!H86*G7)</f>
        <v>5.9052486787476628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0.47519160993470294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179</v>
      </c>
      <c r="G26" s="178">
        <f>Fin_Analysis!H88*Exchange_Rate/G3</f>
        <v>8.0469364761024384E-2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2.1088267670009784</v>
      </c>
      <c r="D29" s="129">
        <f>G29*(1+G20)</f>
        <v>3.7945482061893103</v>
      </c>
      <c r="E29" s="87"/>
      <c r="F29" s="131">
        <f>IF(Fin_Analysis!C108="Profit",Fin_Analysis!F100,IF(Fin_Analysis!C108="Dividend",Fin_Analysis!F103,Fin_Analysis!F106))</f>
        <v>2.4809726670599748</v>
      </c>
      <c r="G29" s="286">
        <f>IF(Fin_Analysis!C108="Profit",Fin_Analysis!I100,IF(Fin_Analysis!C108="Dividend",Fin_Analysis!I103,Fin_Analysis!I106))</f>
        <v>3.299607135816792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0.19853855217217412</v>
      </c>
      <c r="D40" s="156">
        <f t="shared" si="34"/>
        <v>0.19873169581334335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0.15821181625248168</v>
      </c>
      <c r="D41" s="153">
        <f t="shared" si="35"/>
        <v>0.16683616693565623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0.51643948647548221</v>
      </c>
      <c r="D43" s="153">
        <f t="shared" si="37"/>
        <v>0.47037798559984673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1.3644023113167324E-3</v>
      </c>
      <c r="D44" s="153">
        <f t="shared" si="38"/>
        <v>1.1447409470888943E-3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0.12544574278854531</v>
      </c>
      <c r="D46" s="153">
        <f t="shared" si="40"/>
        <v>0.16290941070406484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4.1168354939394511</v>
      </c>
      <c r="D55" s="153">
        <f t="shared" si="47"/>
        <v>2.8873591989987477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102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92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161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218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152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0.16934087866593825</v>
      </c>
      <c r="D87" s="209"/>
      <c r="E87" s="262">
        <f>E86*Exchange_Rate/Dashboard!G3</f>
        <v>0.16934087866593825</v>
      </c>
      <c r="F87" s="209"/>
      <c r="H87" s="262">
        <f>H86*Exchange_Rate/Dashboard!G3</f>
        <v>0.16934087866593825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207</v>
      </c>
      <c r="C89" s="261">
        <f>C88*Exchange_Rate/Dashboard!G3</f>
        <v>0.1061429239943036</v>
      </c>
      <c r="D89" s="209"/>
      <c r="E89" s="261">
        <f>E88*Exchange_Rate/Dashboard!G3</f>
        <v>8.0469364761024384E-2</v>
      </c>
      <c r="F89" s="209"/>
      <c r="H89" s="261">
        <f>H88*Exchange_Rate/Dashboard!G3</f>
        <v>8.0469364761024384E-2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15.591424326390015</v>
      </c>
      <c r="H93" s="87" t="s">
        <v>195</v>
      </c>
      <c r="I93" s="144">
        <f>FV(H87,D93,0,-(H86/(C93-D94)))*Exchange_Rate</f>
        <v>15.591424326390015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4.9901222058821233</v>
      </c>
      <c r="H94" s="87" t="s">
        <v>196</v>
      </c>
      <c r="I94" s="144">
        <f>FV(H89,D93,0,-(H88/(C93-D94)))*Exchange_Rate</f>
        <v>4.9901222058821233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458013.07886823808</v>
      </c>
      <c r="D97" s="213"/>
      <c r="E97" s="123">
        <f>PV(C94,D93,0,-F93)</f>
        <v>7.7516934452449267</v>
      </c>
      <c r="F97" s="213"/>
      <c r="H97" s="123">
        <f>PV(C94,D93,0,-I93)</f>
        <v>7.7516934452449267</v>
      </c>
      <c r="I97" s="123">
        <f>PV(C93,D93,0,-I93)</f>
        <v>10.309481981075006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458013.07886823808</v>
      </c>
      <c r="D100" s="109">
        <f>MIN(F100*(1-C94),E100)</f>
        <v>6.5889394284581879</v>
      </c>
      <c r="E100" s="109">
        <f>MAX(E97+H98+E99,0)</f>
        <v>7.7516934452449267</v>
      </c>
      <c r="F100" s="109">
        <f>(E100+H100)/2</f>
        <v>7.7516934452449267</v>
      </c>
      <c r="H100" s="109">
        <f>MAX(C100*Data!$C$4/Common_Shares,0)</f>
        <v>7.7516934452449267</v>
      </c>
      <c r="I100" s="109">
        <f>MAX(I97+H98+H99,0)</f>
        <v>10.309481981075006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146589.63720051749</v>
      </c>
      <c r="D103" s="109">
        <f>MIN(F103*(1-C94),E103)</f>
        <v>2.1088267670009784</v>
      </c>
      <c r="E103" s="123">
        <f>PV(C94,D93,0,-F94)</f>
        <v>2.4809726670599748</v>
      </c>
      <c r="F103" s="109">
        <f>(E103+H103)/2</f>
        <v>2.4809726670599748</v>
      </c>
      <c r="H103" s="123">
        <f>PV(C94,D93,0,-I94)</f>
        <v>2.4809726670599748</v>
      </c>
      <c r="I103" s="109">
        <f>PV(C93,D93,0,-I94)</f>
        <v>3.299607135816792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302301.3580343778</v>
      </c>
      <c r="D106" s="109">
        <f>(D100+D103)/2</f>
        <v>4.3488830977295834</v>
      </c>
      <c r="E106" s="123">
        <f>(E100+E103)/2</f>
        <v>5.1163330561524507</v>
      </c>
      <c r="F106" s="109">
        <f>(F100+F103)/2</f>
        <v>5.1163330561524507</v>
      </c>
      <c r="H106" s="123">
        <f>(H100+H103)/2</f>
        <v>5.1163330561524507</v>
      </c>
      <c r="I106" s="123">
        <f>(I100+I103)/2</f>
        <v>6.8045445584458992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