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CBC5DBA5-A1FA-4945-A91D-A06FCAC0664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4" i="3" l="1"/>
  <c r="D3" i="3"/>
  <c r="I3" i="3" s="1"/>
  <c r="I49" i="3"/>
  <c r="I48" i="3" s="1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K33" i="2" l="1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D38" i="2" s="1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E93" i="4"/>
  <c r="F93" i="4"/>
  <c r="H77" i="3" s="1"/>
  <c r="F92" i="4"/>
  <c r="H75" i="3" s="1"/>
  <c r="E74" i="3"/>
  <c r="F97" i="4"/>
  <c r="H78" i="3" s="1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95" i="4" l="1"/>
  <c r="E82" i="3" s="1"/>
  <c r="E83" i="3" s="1"/>
  <c r="F95" i="4"/>
  <c r="H82" i="3" s="1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s="1"/>
  <c r="C21" i="1" l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<sst xmlns="http://schemas.openxmlformats.org/spreadsheetml/2006/main" count="392" uniqueCount="273">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</sst>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88" zoomScaleNormal="100" workbookViewId="0">
      <selection activeCell="D86" sqref="D86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229</v>
      </c>
    </row>
    <row r="5" spans="1:5" ht="13.9" x14ac:dyDescent="0.4">
      <c r="B5" s="140" t="s">
        <v>182</v>
      </c>
      <c r="C5" s="190" t="s">
        <v>241</v>
      </c>
    </row>
    <row r="6" spans="1:5" ht="13.9" x14ac:dyDescent="0.4">
      <c r="B6" s="140" t="s">
        <v>156</v>
      </c>
      <c r="C6" s="188">
        <v>45624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68</v>
      </c>
      <c r="E8" s="264"/>
    </row>
    <row r="9" spans="1:5" ht="13.9" x14ac:dyDescent="0.4">
      <c r="B9" s="139" t="s">
        <v>203</v>
      </c>
      <c r="C9" s="191" t="s">
        <v>230</v>
      </c>
    </row>
    <row r="10" spans="1:5" ht="13.9" x14ac:dyDescent="0.4">
      <c r="B10" s="139" t="s">
        <v>204</v>
      </c>
      <c r="C10" s="192">
        <v>587107850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45291</v>
      </c>
    </row>
    <row r="13" spans="1:5" ht="13.9" x14ac:dyDescent="0.4">
      <c r="B13" s="215" t="s">
        <v>11</v>
      </c>
      <c r="C13" s="217">
        <v>1000</v>
      </c>
    </row>
    <row r="14" spans="1:5" ht="13.9" x14ac:dyDescent="0.4">
      <c r="B14" s="215" t="s">
        <v>206</v>
      </c>
      <c r="C14" s="216">
        <v>45473</v>
      </c>
    </row>
    <row r="15" spans="1:5" ht="13.9" x14ac:dyDescent="0.4">
      <c r="B15" s="215" t="s">
        <v>242</v>
      </c>
      <c r="C15" s="175" t="s">
        <v>247</v>
      </c>
    </row>
    <row r="16" spans="1:5" ht="13.9" x14ac:dyDescent="0.4">
      <c r="B16" s="219" t="s">
        <v>94</v>
      </c>
      <c r="C16" s="220">
        <v>0.25</v>
      </c>
      <c r="D16" s="24"/>
    </row>
    <row r="17" spans="2:13" ht="13.9" x14ac:dyDescent="0.4">
      <c r="B17" s="237" t="s">
        <v>210</v>
      </c>
      <c r="C17" s="239" t="s">
        <v>231</v>
      </c>
      <c r="D17" s="24"/>
    </row>
    <row r="18" spans="2:13" ht="13.9" x14ac:dyDescent="0.4">
      <c r="B18" s="237" t="s">
        <v>224</v>
      </c>
      <c r="C18" s="239" t="s">
        <v>231</v>
      </c>
      <c r="D18" s="24"/>
    </row>
    <row r="19" spans="2:13" ht="13.9" x14ac:dyDescent="0.4">
      <c r="B19" s="237" t="s">
        <v>225</v>
      </c>
      <c r="C19" s="239" t="s">
        <v>231</v>
      </c>
      <c r="D19" s="24"/>
    </row>
    <row r="20" spans="2:13" ht="13.9" x14ac:dyDescent="0.4">
      <c r="B20" s="238" t="s">
        <v>214</v>
      </c>
      <c r="C20" s="239" t="s">
        <v>231</v>
      </c>
      <c r="D20" s="24"/>
    </row>
    <row r="21" spans="2:13" ht="13.9" x14ac:dyDescent="0.4">
      <c r="B21" s="221" t="s">
        <v>217</v>
      </c>
      <c r="C21" s="239" t="s">
        <v>231</v>
      </c>
      <c r="D21" s="24"/>
    </row>
    <row r="22" spans="2:13" ht="78.75" x14ac:dyDescent="0.4">
      <c r="B22" s="223" t="s">
        <v>216</v>
      </c>
      <c r="C22" s="240" t="s">
        <v>245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103</v>
      </c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101</v>
      </c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243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108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107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268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266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267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238</v>
      </c>
      <c r="C45" s="151" t="str">
        <f>IF(C44="","",C44*Exchange_Rate/Dashboard!$G$3)</f>
        <v/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235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249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18" t="s">
        <v>68</v>
      </c>
    </row>
    <row r="57" spans="2:5" ht="13.9" x14ac:dyDescent="0.4">
      <c r="B57" s="3" t="s">
        <v>116</v>
      </c>
      <c r="C57" s="59"/>
      <c r="D57" s="60">
        <v>0.6</v>
      </c>
      <c r="E57" s="218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19"/>
      <c r="D59" s="194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248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18" t="s">
        <v>68</v>
      </c>
    </row>
    <row r="66" spans="2:5" ht="13.9" x14ac:dyDescent="0.4">
      <c r="B66" s="3" t="s">
        <v>69</v>
      </c>
      <c r="C66" s="59"/>
      <c r="D66" s="60">
        <v>0.3</v>
      </c>
      <c r="E66" s="218" t="s">
        <v>68</v>
      </c>
    </row>
    <row r="67" spans="2:5" ht="13.9" x14ac:dyDescent="0.4">
      <c r="B67" s="1" t="s">
        <v>46</v>
      </c>
      <c r="C67" s="59"/>
      <c r="D67" s="60">
        <v>0.2</v>
      </c>
      <c r="E67" s="218" t="s">
        <v>43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3" t="s">
        <v>73</v>
      </c>
      <c r="C72" s="244"/>
      <c r="D72" s="245">
        <v>0</v>
      </c>
      <c r="E72" s="246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271</v>
      </c>
      <c r="C82" s="214"/>
    </row>
    <row r="83" spans="2:8" ht="14.25" hidden="1" thickTop="1" x14ac:dyDescent="0.4">
      <c r="B83" s="73" t="s">
        <v>272</v>
      </c>
      <c r="C83" s="214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236</v>
      </c>
      <c r="C86" s="196">
        <v>5</v>
      </c>
    </row>
    <row r="87" spans="2:8" ht="13.9" x14ac:dyDescent="0.4">
      <c r="B87" s="10" t="s">
        <v>234</v>
      </c>
      <c r="C87" s="233" t="s">
        <v>237</v>
      </c>
      <c r="D87" s="266">
        <v>0.02</v>
      </c>
    </row>
    <row r="89" spans="2:8" ht="13.5" x14ac:dyDescent="0.35">
      <c r="B89" s="106" t="s">
        <v>123</v>
      </c>
      <c r="C89" s="281">
        <f>C24</f>
        <v>45291</v>
      </c>
      <c r="D89" s="281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2" t="s">
        <v>98</v>
      </c>
      <c r="D90" s="282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0</v>
      </c>
      <c r="D91" s="206"/>
      <c r="E91" s="248">
        <f>C91</f>
        <v>0</v>
      </c>
      <c r="F91" s="248">
        <f>C91</f>
        <v>0</v>
      </c>
    </row>
    <row r="92" spans="2:8" ht="13.9" x14ac:dyDescent="0.4">
      <c r="B92" s="104" t="s">
        <v>103</v>
      </c>
      <c r="C92" s="77">
        <f>C26</f>
        <v>0</v>
      </c>
      <c r="D92" s="158" t="e">
        <f>C92/C91</f>
        <v>#DIV/0!</v>
      </c>
      <c r="E92" s="249" t="e">
        <f>E91*D92</f>
        <v>#DIV/0!</v>
      </c>
      <c r="F92" s="249" t="e">
        <f>F91*D92</f>
        <v>#DIV/0!</v>
      </c>
    </row>
    <row r="93" spans="2:8" ht="13.9" x14ac:dyDescent="0.4">
      <c r="B93" s="104" t="s">
        <v>233</v>
      </c>
      <c r="C93" s="77">
        <f>C27+C28</f>
        <v>0</v>
      </c>
      <c r="D93" s="158" t="e">
        <f>C93/C91</f>
        <v>#DIV/0!</v>
      </c>
      <c r="E93" s="249" t="e">
        <f>E91*D93</f>
        <v>#DIV/0!</v>
      </c>
      <c r="F93" s="249" t="e">
        <f>F91*D93</f>
        <v>#DIV/0!</v>
      </c>
    </row>
    <row r="94" spans="2:8" ht="13.9" x14ac:dyDescent="0.4">
      <c r="B94" s="104" t="s">
        <v>243</v>
      </c>
      <c r="C94" s="77">
        <f>C29</f>
        <v>0</v>
      </c>
      <c r="D94" s="158" t="e">
        <f>C94/C91</f>
        <v>#DIV/0!</v>
      </c>
      <c r="E94" s="250"/>
      <c r="F94" s="249" t="e">
        <f>F91*D94</f>
        <v>#DIV/0!</v>
      </c>
    </row>
    <row r="95" spans="2:8" ht="13.9" x14ac:dyDescent="0.4">
      <c r="B95" s="28" t="s">
        <v>232</v>
      </c>
      <c r="C95" s="77">
        <f>ABS(MAX(C33,0)-C32)</f>
        <v>0</v>
      </c>
      <c r="D95" s="158" t="e">
        <f>C95/C91</f>
        <v>#DIV/0!</v>
      </c>
      <c r="E95" s="249" t="e">
        <f>E91*D95</f>
        <v>#DIV/0!</v>
      </c>
      <c r="F95" s="249" t="e">
        <f>F91*D95</f>
        <v>#DIV/0!</v>
      </c>
    </row>
    <row r="96" spans="2:8" ht="13.9" x14ac:dyDescent="0.4">
      <c r="B96" s="28" t="s">
        <v>107</v>
      </c>
      <c r="C96" s="77">
        <f>MAX(C31,0)</f>
        <v>0</v>
      </c>
      <c r="D96" s="158" t="e">
        <f>C96/C91</f>
        <v>#DIV/0!</v>
      </c>
      <c r="E96" s="250"/>
      <c r="F96" s="249" t="e">
        <f>F91*D96</f>
        <v>#DIV/0!</v>
      </c>
    </row>
    <row r="97" spans="2:7" ht="13.9" x14ac:dyDescent="0.4">
      <c r="B97" s="73" t="s">
        <v>162</v>
      </c>
      <c r="C97" s="77">
        <f>MAX(C30,0)/(1-C16)</f>
        <v>0</v>
      </c>
      <c r="D97" s="158" t="e">
        <f>C97/C91</f>
        <v>#DIV/0!</v>
      </c>
      <c r="E97" s="250"/>
      <c r="F97" s="249" t="e">
        <f>F91*D97</f>
        <v>#DIV/0!</v>
      </c>
    </row>
    <row r="98" spans="2:7" ht="13.9" x14ac:dyDescent="0.4">
      <c r="B98" s="86" t="s">
        <v>194</v>
      </c>
      <c r="C98" s="234">
        <f>C44</f>
        <v>0</v>
      </c>
      <c r="D98" s="263"/>
      <c r="E98" s="251">
        <f>F98</f>
        <v>0</v>
      </c>
      <c r="F98" s="251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7" t="str">
        <f>Inputs!C4</f>
        <v>0590.HK</v>
      </c>
      <c r="D3" s="288"/>
      <c r="E3" s="87"/>
      <c r="F3" s="3" t="s">
        <v>1</v>
      </c>
      <c r="G3" s="131">
        <v>14.779999732971191</v>
      </c>
      <c r="H3" s="133" t="s">
        <v>2</v>
      </c>
    </row>
    <row r="4" spans="1:10" ht="15.75" customHeight="1" x14ac:dyDescent="0.4">
      <c r="B4" s="35" t="s">
        <v>182</v>
      </c>
      <c r="C4" s="289" t="str">
        <f>Inputs!C5</f>
        <v>Template</v>
      </c>
      <c r="D4" s="290"/>
      <c r="E4" s="87"/>
      <c r="F4" s="3" t="s">
        <v>3</v>
      </c>
      <c r="G4" s="293">
        <f>Inputs!C10</f>
        <v>587107850</v>
      </c>
      <c r="H4" s="293"/>
      <c r="I4" s="39"/>
    </row>
    <row r="5" spans="1:10" ht="15.75" customHeight="1" x14ac:dyDescent="0.4">
      <c r="B5" s="3" t="s">
        <v>156</v>
      </c>
      <c r="C5" s="291">
        <f>Inputs!C6</f>
        <v>45624</v>
      </c>
      <c r="D5" s="292"/>
      <c r="E5" s="34"/>
      <c r="F5" s="35" t="s">
        <v>97</v>
      </c>
      <c r="G5" s="285">
        <f>G3*G4/1000000</f>
        <v>8677.4538662252908</v>
      </c>
      <c r="H5" s="285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6" t="str">
        <f>Inputs!C11</f>
        <v>HKD</v>
      </c>
      <c r="H6" s="286"/>
      <c r="I6" s="38"/>
    </row>
    <row r="7" spans="1:10" ht="15.75" customHeight="1" x14ac:dyDescent="0.4">
      <c r="B7" s="86" t="s">
        <v>179</v>
      </c>
      <c r="C7" s="186" t="str">
        <f>Inputs!C8</f>
        <v>N</v>
      </c>
      <c r="D7" s="186" t="str">
        <f>Inputs!C9</f>
        <v>C0003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4.2099999999999999E-2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5.3099999999999994E-2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239</v>
      </c>
      <c r="C12" s="173">
        <v>0.06</v>
      </c>
      <c r="D12" s="171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2.1309999999999999E-2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CN</v>
      </c>
      <c r="F16" s="110" t="s">
        <v>167</v>
      </c>
    </row>
    <row r="17" spans="1:8" ht="15.75" customHeight="1" thickTop="1" x14ac:dyDescent="0.4">
      <c r="B17" s="87" t="s">
        <v>240</v>
      </c>
      <c r="C17" s="174">
        <v>7.1999999999999995E-2</v>
      </c>
      <c r="D17" s="175"/>
    </row>
    <row r="18" spans="1:8" ht="15.75" customHeight="1" x14ac:dyDescent="0.4"/>
    <row r="19" spans="1:8" ht="15.75" customHeight="1" thickBot="1" x14ac:dyDescent="0.45">
      <c r="B19" s="141" t="s">
        <v>265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256</v>
      </c>
      <c r="C20" s="273" t="e">
        <f>C23*C22*(1/C21)</f>
        <v>#VALUE!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254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269</v>
      </c>
      <c r="C22" s="277" t="e">
        <f>Data!C48</f>
        <v>#VALUE!</v>
      </c>
      <c r="F22" s="141" t="s">
        <v>172</v>
      </c>
    </row>
    <row r="23" spans="1:8" ht="15.75" customHeight="1" thickBot="1" x14ac:dyDescent="0.45">
      <c r="B23" s="278" t="s">
        <v>261</v>
      </c>
      <c r="C23" s="279" t="e">
        <f>Data!C13</f>
        <v>#VALUE!</v>
      </c>
      <c r="F23" s="139" t="s">
        <v>176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262</v>
      </c>
      <c r="C24" s="170" t="e">
        <f>Fin_Analysis!I81</f>
        <v>#DIV/0!</v>
      </c>
      <c r="F24" s="139" t="s">
        <v>246</v>
      </c>
      <c r="G24" s="265" t="e">
        <f>G3/(Fin_Analysis!H86*G7)</f>
        <v>#DIV/0!</v>
      </c>
    </row>
    <row r="25" spans="1:8" ht="15.75" customHeight="1" x14ac:dyDescent="0.4">
      <c r="B25" s="136" t="s">
        <v>263</v>
      </c>
      <c r="C25" s="170" t="e">
        <f>Fin_Analysis!I80</f>
        <v>#DIV/0!</v>
      </c>
      <c r="F25" s="139" t="s">
        <v>163</v>
      </c>
      <c r="G25" s="170" t="e">
        <f>Fin_Analysis!I88</f>
        <v>#DIV/0!</v>
      </c>
    </row>
    <row r="26" spans="1:8" ht="15.75" customHeight="1" x14ac:dyDescent="0.4">
      <c r="B26" s="137" t="s">
        <v>264</v>
      </c>
      <c r="C26" s="170" t="e">
        <f>Fin_Analysis!I80+Fin_Analysis!I82</f>
        <v>#DIV/0!</v>
      </c>
      <c r="F26" s="140" t="s">
        <v>180</v>
      </c>
      <c r="G26" s="177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3" t="s">
        <v>244</v>
      </c>
      <c r="H28" s="283"/>
    </row>
    <row r="29" spans="1:8" ht="15.75" customHeight="1" x14ac:dyDescent="0.4">
      <c r="B29" s="87" t="s">
        <v>161</v>
      </c>
      <c r="C29" s="129" t="e">
        <f>IF(Fin_Analysis!C108="Profit",Fin_Analysis!D100,IF(Fin_Analysis!C108="Dividend",Fin_Analysis!D103,Fin_Analysis!D106))</f>
        <v>#DIV/0!</v>
      </c>
      <c r="D29" s="128" t="e">
        <f>G29*(1+G20)</f>
        <v>#DIV/0!</v>
      </c>
      <c r="E29" s="87"/>
      <c r="F29" s="130" t="e">
        <f>IF(Fin_Analysis!C108="Profit",Fin_Analysis!F100,IF(Fin_Analysis!C108="Dividend",Fin_Analysis!F103,Fin_Analysis!F106))</f>
        <v>#DIV/0!</v>
      </c>
      <c r="G29" s="284" t="e">
        <f>IF(Fin_Analysis!C108="Profit",Fin_Analysis!I100,IF(Fin_Analysis!C108="Dividend",Fin_Analysis!I103,Fin_Analysis!I106))</f>
        <v>#DIV/0!</v>
      </c>
      <c r="H29" s="284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unclear</v>
      </c>
    </row>
    <row r="34" spans="1:3" ht="15.75" customHeight="1" x14ac:dyDescent="0.4">
      <c r="A34"/>
      <c r="B34" s="19" t="s">
        <v>211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unclear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unclear</v>
      </c>
    </row>
    <row r="40" spans="1:3" ht="15.75" customHeight="1" x14ac:dyDescent="0.4">
      <c r="A40"/>
      <c r="B40" s="1" t="s">
        <v>217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45291</v>
      </c>
      <c r="E3" s="145" t="s">
        <v>187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</v>
      </c>
      <c r="D4" s="1" t="str">
        <f>Dashboard!G6</f>
        <v>HKD</v>
      </c>
      <c r="E4" s="145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199" t="str">
        <f>IF(Inputs!C25=""," ",Inputs!C25)</f>
        <v xml:space="preserve"> </v>
      </c>
      <c r="D6" s="199" t="str">
        <f>IF(Inputs!D25="","",Inputs!D25)</f>
        <v/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 t="str">
        <f>IF(Inputs!C26="","",Inputs!C26)</f>
        <v/>
      </c>
      <c r="D8" s="198" t="str">
        <f>IF(Inputs!D26="","",Inputs!D26)</f>
        <v/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 t="e">
        <f t="shared" ref="C9:M9" si="2">IF(C6="","",(C6-C8))</f>
        <v>#VALUE!</v>
      </c>
      <c r="D9" s="150" t="str">
        <f t="shared" si="2"/>
        <v/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 t="str">
        <f>IF(Inputs!C27="","",Inputs!C27)</f>
        <v/>
      </c>
      <c r="D10" s="198" t="str">
        <f>IF(Inputs!D27="","",Inputs!D27)</f>
        <v/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 t="e">
        <f t="shared" ref="C13:M13" si="3">IF(C14="","",C14/C6)</f>
        <v>#VALUE!</v>
      </c>
      <c r="D13" s="226" t="str">
        <f t="shared" si="3"/>
        <v/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 t="e">
        <f>IF(C6="","",C9-C10-MAX(C11,0)-MAX(C12,0))</f>
        <v>#VALUE!</v>
      </c>
      <c r="D14" s="227" t="str">
        <f t="shared" ref="D14:M14" si="4">IF(D6="","",D9-D10-MAX(D11,0)-MAX(D12,0))</f>
        <v/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 t="str">
        <f>IF(D14="","",IF(ABS(C14+D14)=ABS(C14)+ABS(D14),IF(C14&lt;0,-1,1)*(C14-D14)/D14,"Turn"))</f>
        <v/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243</v>
      </c>
      <c r="C17" s="198" t="str">
        <f>IF(Inputs!C29="","",Inputs!C29)</f>
        <v/>
      </c>
      <c r="D17" s="198" t="str">
        <f>IF(Inputs!D29="","",Inputs!D29)</f>
        <v/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 t="e">
        <f t="shared" ref="C20:M20" si="7">IF(C6="","",MAX(C21,0)/C6)</f>
        <v>#VALUE!</v>
      </c>
      <c r="D20" s="151" t="str">
        <f t="shared" si="7"/>
        <v/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 t="e">
        <f>IF(C6="","",C14-MAX(C16,0)-MAX(C17,0)-ABS(MAX(C21,0)-MAX(C19,0)))</f>
        <v>#VALUE!</v>
      </c>
      <c r="D22" s="160" t="str">
        <f t="shared" ref="D22:M22" si="8">IF(D6="","",D14-MAX(D16,0)-MAX(D17,0)-ABS(MAX(D21,0)-MAX(D19,0)))</f>
        <v/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 t="e">
        <f t="shared" ref="C23:M23" si="9">IF(C6="","",C24/C6)</f>
        <v>#VALUE!</v>
      </c>
      <c r="D23" s="152" t="str">
        <f t="shared" si="9"/>
        <v/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 t="str">
        <f>IF(D24="","",IF(ABS(C24+D24)=ABS(C24)+ABS(D24),IF(C24&lt;0,-1,1)*(C24-D24)/D24,"Turn"))</f>
        <v/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266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 t="e">
        <f>IF(C6="","",C14/MAX(C37,0))</f>
        <v>#VALUE!</v>
      </c>
      <c r="D38" s="154" t="str">
        <f>IF(D6="","",D14/MAX(D37,0))</f>
        <v/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251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 t="e">
        <f t="shared" ref="C40:M40" si="34">IF(C6="","",C8/C6)</f>
        <v>#VALUE!</v>
      </c>
      <c r="D40" s="155" t="str">
        <f t="shared" si="34"/>
        <v/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 t="e">
        <f t="shared" ref="C41:M41" si="35">IF(C6="","",(C10+MAX(C11,0))/C6)</f>
        <v>#VALUE!</v>
      </c>
      <c r="D41" s="152" t="str">
        <f t="shared" si="35"/>
        <v/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 t="e">
        <f t="shared" ref="C42:M42" si="36">IF(C6="","",MAX(C16,0)/C6)</f>
        <v>#VALUE!</v>
      </c>
      <c r="D42" s="152" t="str">
        <f t="shared" si="36"/>
        <v/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 t="e">
        <f t="shared" ref="C43:M43" si="37">IF(C6="","",MAX(C17,0)/C6)</f>
        <v>#VALUE!</v>
      </c>
      <c r="D43" s="152" t="str">
        <f t="shared" si="37"/>
        <v/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 t="e">
        <f t="shared" ref="C44:M44" si="38">IF(C6="","",MAX(C12,0)/C6)</f>
        <v>#VALUE!</v>
      </c>
      <c r="D44" s="152" t="str">
        <f t="shared" si="38"/>
        <v/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 t="e">
        <f t="shared" ref="C45:M45" si="39">IF(C6="","",ABS(MAX(C21,0)-MAX(C19,0))/C6)</f>
        <v>#VALUE!</v>
      </c>
      <c r="D45" s="152" t="str">
        <f t="shared" si="39"/>
        <v/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 t="e">
        <f t="shared" ref="C46:M46" si="40">IF(C6="","",C22/C6)</f>
        <v>#VALUE!</v>
      </c>
      <c r="D46" s="152" t="str">
        <f t="shared" si="40"/>
        <v/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252</v>
      </c>
      <c r="C47" s="280" t="s">
        <v>270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258</v>
      </c>
      <c r="C48" s="269" t="e">
        <f t="shared" ref="C48:M48" si="41">IF(C6="","",C6/C27)</f>
        <v>#VALUE!</v>
      </c>
      <c r="D48" s="269" t="str">
        <f t="shared" si="41"/>
        <v/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259</v>
      </c>
      <c r="C49" s="152" t="e">
        <f t="shared" ref="C49:M49" si="42">IF(C28="","",C28/C6)</f>
        <v>#VALUE!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260</v>
      </c>
      <c r="C50" s="152" t="e">
        <f t="shared" ref="C50:M50" si="43">IF(C29="","",C29/C6)</f>
        <v>#VALUE!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250</v>
      </c>
      <c r="C51" s="152" t="str">
        <f t="shared" ref="C51:M51" si="44">IF(D6="","",C16/(C6-D6))</f>
        <v/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253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254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 t="e">
        <f t="shared" ref="C54:M54" si="46">IF(OR(C22="",C33=""),"",IF(C33&lt;=0,"-",C22/C33))</f>
        <v>#VALUE!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 t="e">
        <f t="shared" ref="C55:M55" si="47">IF(C22="","",IF(MAX(C17,0)&lt;=0,"-",C17/C22))</f>
        <v>#VALUE!</v>
      </c>
      <c r="D55" s="152" t="str">
        <f t="shared" si="47"/>
        <v/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255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256</v>
      </c>
      <c r="C58" s="271" t="e">
        <f t="shared" ref="C58:M58" si="49">IF(C14="","",C14/(C34-C35))</f>
        <v>#VALUE!</v>
      </c>
      <c r="D58" s="271" t="str">
        <f t="shared" si="49"/>
        <v/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257</v>
      </c>
      <c r="C59" s="271" t="e">
        <f t="shared" ref="C59:M59" si="50">IF(C22="","",C22/(C34-C35))</f>
        <v>#VALUE!</v>
      </c>
      <c r="D59" s="271" t="str">
        <f t="shared" si="50"/>
        <v/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23</v>
      </c>
      <c r="I3" s="298">
        <f>D3-D4</f>
        <v>0</v>
      </c>
      <c r="K3" s="24"/>
    </row>
    <row r="4" spans="1:11" ht="15" customHeight="1" x14ac:dyDescent="0.4">
      <c r="B4" s="3" t="s">
        <v>24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7">
        <f>Inputs!D66</f>
        <v>0.3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0.2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97">
        <f>I49-I28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4">
        <f>I15+I34</f>
        <v>0</v>
      </c>
      <c r="E56" s="292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3">
        <f>Inputs!C84</f>
        <v>0</v>
      </c>
      <c r="E57" s="292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3">
        <f>Inputs!C85</f>
        <v>0</v>
      </c>
      <c r="E58" s="29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1">
        <f>Data!C5</f>
        <v>45291</v>
      </c>
      <c r="D72" s="281"/>
      <c r="E72" s="295" t="s">
        <v>193</v>
      </c>
      <c r="F72" s="295"/>
      <c r="H72" s="295" t="s">
        <v>192</v>
      </c>
      <c r="I72" s="29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2" t="s">
        <v>98</v>
      </c>
      <c r="D73" s="282"/>
      <c r="E73" s="296" t="s">
        <v>99</v>
      </c>
      <c r="F73" s="282"/>
      <c r="H73" s="296" t="s">
        <v>99</v>
      </c>
      <c r="I73" s="282"/>
      <c r="K73" s="24"/>
    </row>
    <row r="74" spans="1:11" ht="15" customHeight="1" x14ac:dyDescent="0.4">
      <c r="B74" s="3" t="s">
        <v>122</v>
      </c>
      <c r="C74" s="77" t="str">
        <f>Data!C6</f>
        <v xml:space="preserve"> </v>
      </c>
      <c r="D74" s="206"/>
      <c r="E74" s="235">
        <f>Inputs!E91</f>
        <v>0</v>
      </c>
      <c r="F74" s="206"/>
      <c r="H74" s="235">
        <f>Inputs!F91</f>
        <v>0</v>
      </c>
      <c r="I74" s="206"/>
      <c r="K74" s="24"/>
    </row>
    <row r="75" spans="1:11" ht="15" customHeight="1" x14ac:dyDescent="0.4">
      <c r="B75" s="104" t="s">
        <v>103</v>
      </c>
      <c r="C75" s="77" t="str">
        <f>Data!C8</f>
        <v/>
      </c>
      <c r="D75" s="158" t="e">
        <f>C75/$C$74</f>
        <v>#VALUE!</v>
      </c>
      <c r="E75" s="235" t="e">
        <f>Inputs!E92</f>
        <v>#DIV/0!</v>
      </c>
      <c r="F75" s="159" t="e">
        <f>E75/E74</f>
        <v>#DIV/0!</v>
      </c>
      <c r="H75" s="235" t="e">
        <f>Inputs!F92</f>
        <v>#DIV/0!</v>
      </c>
      <c r="I75" s="159" t="e">
        <f>H75/$H$74</f>
        <v>#DIV/0!</v>
      </c>
      <c r="K75" s="24"/>
    </row>
    <row r="76" spans="1:11" ht="15" customHeight="1" x14ac:dyDescent="0.4">
      <c r="B76" s="35" t="s">
        <v>93</v>
      </c>
      <c r="C76" s="160" t="e">
        <f>C74-C75</f>
        <v>#VALUE!</v>
      </c>
      <c r="D76" s="207"/>
      <c r="E76" s="161" t="e">
        <f>E74-E75</f>
        <v>#DIV/0!</v>
      </c>
      <c r="F76" s="207"/>
      <c r="H76" s="161" t="e">
        <f>H74-H75</f>
        <v>#DIV/0!</v>
      </c>
      <c r="I76" s="207"/>
      <c r="K76" s="24"/>
    </row>
    <row r="77" spans="1:11" ht="15" customHeight="1" x14ac:dyDescent="0.4">
      <c r="B77" s="104" t="s">
        <v>233</v>
      </c>
      <c r="C77" s="77" t="e">
        <f>Data!C10+MAX(Data!C11,0)</f>
        <v>#VALUE!</v>
      </c>
      <c r="D77" s="158" t="e">
        <f>C77/$C$74</f>
        <v>#VALUE!</v>
      </c>
      <c r="E77" s="235" t="e">
        <f>Inputs!E93</f>
        <v>#DIV/0!</v>
      </c>
      <c r="F77" s="159" t="e">
        <f>E77/E74</f>
        <v>#DIV/0!</v>
      </c>
      <c r="H77" s="235" t="e">
        <f>Inputs!F93</f>
        <v>#DIV/0!</v>
      </c>
      <c r="I77" s="159" t="e">
        <f>H77/$H$74</f>
        <v>#DIV/0!</v>
      </c>
      <c r="K77" s="24"/>
    </row>
    <row r="78" spans="1:11" ht="15" customHeight="1" x14ac:dyDescent="0.4">
      <c r="B78" s="73" t="s">
        <v>162</v>
      </c>
      <c r="C78" s="77">
        <f>MAX(Data!C12,0)</f>
        <v>0</v>
      </c>
      <c r="D78" s="158" t="e">
        <f>C78/$C$74</f>
        <v>#VALUE!</v>
      </c>
      <c r="E78" s="179" t="e">
        <f>E74*F78</f>
        <v>#DIV/0!</v>
      </c>
      <c r="F78" s="159" t="e">
        <f>I78</f>
        <v>#DIV/0!</v>
      </c>
      <c r="H78" s="235" t="e">
        <f>Inputs!F97</f>
        <v>#DIV/0!</v>
      </c>
      <c r="I78" s="159" t="e">
        <f>H78/$H$74</f>
        <v>#DIV/0!</v>
      </c>
      <c r="K78" s="24"/>
    </row>
    <row r="79" spans="1:11" ht="15" customHeight="1" x14ac:dyDescent="0.4">
      <c r="B79" s="253" t="s">
        <v>218</v>
      </c>
      <c r="C79" s="254" t="e">
        <f>C76-C77-C78</f>
        <v>#VALUE!</v>
      </c>
      <c r="D79" s="255" t="e">
        <f>C79/C74</f>
        <v>#VALUE!</v>
      </c>
      <c r="E79" s="256" t="e">
        <f>E76-E77-E78</f>
        <v>#DIV/0!</v>
      </c>
      <c r="F79" s="255" t="e">
        <f>E79/E74</f>
        <v>#DIV/0!</v>
      </c>
      <c r="G79" s="257"/>
      <c r="H79" s="256" t="e">
        <f>H76-H77-H78</f>
        <v>#DIV/0!</v>
      </c>
      <c r="I79" s="255" t="e">
        <f>H79/H74</f>
        <v>#DIV/0!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8" t="e">
        <f>C80/$C$74</f>
        <v>#VALUE!</v>
      </c>
      <c r="E80" s="179" t="e">
        <f>E74*F80</f>
        <v>#DIV/0!</v>
      </c>
      <c r="F80" s="159" t="e">
        <f>I80</f>
        <v>#DIV/0!</v>
      </c>
      <c r="H80" s="235" t="e">
        <f>Inputs!F96</f>
        <v>#DIV/0!</v>
      </c>
      <c r="I80" s="159" t="e">
        <f>H80/$H$74</f>
        <v>#DIV/0!</v>
      </c>
      <c r="K80" s="180" t="s">
        <v>127</v>
      </c>
    </row>
    <row r="81" spans="1:11" ht="15" customHeight="1" x14ac:dyDescent="0.4">
      <c r="B81" s="104" t="s">
        <v>243</v>
      </c>
      <c r="C81" s="77">
        <f>MAX(Data!C17,0)</f>
        <v>0</v>
      </c>
      <c r="D81" s="158" t="e">
        <f>C81/$C$74</f>
        <v>#VALUE!</v>
      </c>
      <c r="E81" s="179" t="e">
        <f>E74*F81</f>
        <v>#DIV/0!</v>
      </c>
      <c r="F81" s="159" t="e">
        <f>I81</f>
        <v>#DIV/0!</v>
      </c>
      <c r="H81" s="235" t="e">
        <f>Inputs!F94</f>
        <v>#DIV/0!</v>
      </c>
      <c r="I81" s="159" t="e">
        <f>H81/$H$74</f>
        <v>#DIV/0!</v>
      </c>
      <c r="K81" s="24"/>
    </row>
    <row r="82" spans="1:11" ht="15" customHeight="1" x14ac:dyDescent="0.4">
      <c r="B82" s="28" t="s">
        <v>232</v>
      </c>
      <c r="C82" s="77">
        <f>ABS(MAX(Data!C21,0)-MAX(Data!C19,0))</f>
        <v>0</v>
      </c>
      <c r="D82" s="158" t="e">
        <f>C82/$C$74</f>
        <v>#VALUE!</v>
      </c>
      <c r="E82" s="235" t="e">
        <f>Inputs!E95</f>
        <v>#DIV/0!</v>
      </c>
      <c r="F82" s="159" t="e">
        <f>E82/E74</f>
        <v>#DIV/0!</v>
      </c>
      <c r="H82" s="235" t="e">
        <f>Inputs!F95</f>
        <v>#DIV/0!</v>
      </c>
      <c r="I82" s="159" t="e">
        <f>H82/$H$74</f>
        <v>#DIV/0!</v>
      </c>
      <c r="K82" s="24"/>
    </row>
    <row r="83" spans="1:11" ht="15" customHeight="1" thickBot="1" x14ac:dyDescent="0.45">
      <c r="B83" s="105" t="s">
        <v>121</v>
      </c>
      <c r="C83" s="162" t="e">
        <f>C79-C81-C82-C80</f>
        <v>#VALUE!</v>
      </c>
      <c r="D83" s="163" t="e">
        <f>C83/$C$74</f>
        <v>#VALUE!</v>
      </c>
      <c r="E83" s="164" t="e">
        <f>E79-E81-E82-E80</f>
        <v>#DIV/0!</v>
      </c>
      <c r="F83" s="163" t="e">
        <f>E83/E74</f>
        <v>#DIV/0!</v>
      </c>
      <c r="H83" s="164" t="e">
        <f>H79-H81-H82-H80</f>
        <v>#DIV/0!</v>
      </c>
      <c r="I83" s="163" t="e">
        <f>H83/$H$74</f>
        <v>#DIV/0!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157</v>
      </c>
      <c r="C85" s="254" t="e">
        <f>C83*(1-I84)</f>
        <v>#VALUE!</v>
      </c>
      <c r="D85" s="255" t="e">
        <f>C85/$C$74</f>
        <v>#VALUE!</v>
      </c>
      <c r="E85" s="261" t="e">
        <f>E83*(1-F84)</f>
        <v>#DIV/0!</v>
      </c>
      <c r="F85" s="255" t="e">
        <f>E85/E74</f>
        <v>#DIV/0!</v>
      </c>
      <c r="G85" s="257"/>
      <c r="H85" s="261" t="e">
        <f>H83*(1-I84)</f>
        <v>#DIV/0!</v>
      </c>
      <c r="I85" s="255" t="e">
        <f>H85/$H$74</f>
        <v>#DIV/0!</v>
      </c>
      <c r="K85" s="24"/>
    </row>
    <row r="86" spans="1:11" ht="15" customHeight="1" x14ac:dyDescent="0.4">
      <c r="B86" s="87" t="s">
        <v>153</v>
      </c>
      <c r="C86" s="166" t="e">
        <f>C85*Data!C4/Common_Shares</f>
        <v>#VALUE!</v>
      </c>
      <c r="D86" s="206"/>
      <c r="E86" s="167" t="e">
        <f>E85*Data!C4/Common_Shares</f>
        <v>#DIV/0!</v>
      </c>
      <c r="F86" s="206"/>
      <c r="H86" s="167" t="e">
        <f>H85*Data!C4/Common_Shares</f>
        <v>#DIV/0!</v>
      </c>
      <c r="I86" s="206"/>
      <c r="K86" s="24"/>
    </row>
    <row r="87" spans="1:11" ht="15" customHeight="1" x14ac:dyDescent="0.4">
      <c r="B87" s="87" t="s">
        <v>195</v>
      </c>
      <c r="C87" s="258" t="e">
        <f>C86*Exchange_Rate/Dashboard!G3</f>
        <v>#VALUE!</v>
      </c>
      <c r="D87" s="206"/>
      <c r="E87" s="259" t="e">
        <f>E86*Exchange_Rate/Dashboard!G3</f>
        <v>#DIV/0!</v>
      </c>
      <c r="F87" s="206"/>
      <c r="H87" s="259" t="e">
        <f>H86*Exchange_Rate/Dashboard!G3</f>
        <v>#DIV/0!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0</v>
      </c>
      <c r="D88" s="165" t="e">
        <f>C88/C86</f>
        <v>#VALUE!</v>
      </c>
      <c r="E88" s="169">
        <f>Inputs!E98</f>
        <v>0</v>
      </c>
      <c r="F88" s="165" t="e">
        <f>E88/E86</f>
        <v>#DIV/0!</v>
      </c>
      <c r="H88" s="169">
        <f>Inputs!F98</f>
        <v>0</v>
      </c>
      <c r="I88" s="165" t="e">
        <f>H88/H86</f>
        <v>#DIV/0!</v>
      </c>
      <c r="K88" s="24"/>
    </row>
    <row r="89" spans="1:11" ht="15" customHeight="1" x14ac:dyDescent="0.4">
      <c r="B89" s="87" t="s">
        <v>207</v>
      </c>
      <c r="C89" s="258">
        <f>C88*Exchange_Rate/Dashboard!G3</f>
        <v>0</v>
      </c>
      <c r="D89" s="206"/>
      <c r="E89" s="258">
        <f>E88*Exchange_Rate/Dashboard!G3</f>
        <v>0</v>
      </c>
      <c r="F89" s="206"/>
      <c r="H89" s="258">
        <f>H88*Exchange_Rate/Dashboard!G3</f>
        <v>0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CN</v>
      </c>
      <c r="D92" s="10" t="s">
        <v>149</v>
      </c>
      <c r="E92" s="295" t="s">
        <v>193</v>
      </c>
      <c r="F92" s="295"/>
      <c r="G92" s="87"/>
      <c r="H92" s="295" t="s">
        <v>192</v>
      </c>
      <c r="I92" s="295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7.1999999999999995E-2</v>
      </c>
      <c r="D93" s="236">
        <f>Inputs!C86</f>
        <v>5</v>
      </c>
      <c r="E93" s="87" t="s">
        <v>196</v>
      </c>
      <c r="F93" s="143" t="e">
        <f>FV(E87,D93,0,-(E86/(C93-D94)))*Exchange_Rate</f>
        <v>#DIV/0!</v>
      </c>
      <c r="H93" s="87" t="s">
        <v>196</v>
      </c>
      <c r="I93" s="143" t="e">
        <f>FV(H87,D93,0,-(H86/(C93-D94)))*Exchange_Rate</f>
        <v>#DIV/0!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0</v>
      </c>
      <c r="H94" s="87" t="s">
        <v>197</v>
      </c>
      <c r="I94" s="143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 t="e">
        <f>H97*Common_Shares/Data!C4</f>
        <v>#DIV/0!</v>
      </c>
      <c r="D97" s="210"/>
      <c r="E97" s="122" t="e">
        <f>PV(C94,D93,0,-F93)</f>
        <v>#DIV/0!</v>
      </c>
      <c r="F97" s="210"/>
      <c r="H97" s="122" t="e">
        <f>PV(C94,D93,0,-I93)</f>
        <v>#DIV/0!</v>
      </c>
      <c r="I97" s="122" t="e">
        <f>PV(C93,D93,0,-I93)</f>
        <v>#DIV/0!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112</v>
      </c>
      <c r="C100" s="91" t="e">
        <f>C97+C98+$C$99</f>
        <v>#DIV/0!</v>
      </c>
      <c r="D100" s="109" t="e">
        <f>MIN(F100*(1-C94),E100)</f>
        <v>#DIV/0!</v>
      </c>
      <c r="E100" s="109" t="e">
        <f>MAX(E97+H98+E99,0)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0</v>
      </c>
      <c r="D103" s="109">
        <f>MIN(F103*(1-C94),E103)</f>
        <v>0</v>
      </c>
      <c r="E103" s="122">
        <f>PV(C94,D93,0,-F94)</f>
        <v>0</v>
      </c>
      <c r="F103" s="109">
        <f>(E103+H103)/2</f>
        <v>0</v>
      </c>
      <c r="H103" s="122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 t="e">
        <f>E106*Common_Shares/Data!C4</f>
        <v>#DIV/0!</v>
      </c>
      <c r="D106" s="109" t="e">
        <f>(D100+D103)/2</f>
        <v>#DIV/0!</v>
      </c>
      <c r="E106" s="122" t="e">
        <f>(E100+E103)/2</f>
        <v>#DIV/0!</v>
      </c>
      <c r="F106" s="109" t="e">
        <f>(F100+F103)/2</f>
        <v>#DIV/0!</v>
      </c>
      <c r="H106" s="122" t="e">
        <f>(H100+H103)/2</f>
        <v>#DIV/0!</v>
      </c>
      <c r="I106" s="122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