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5B6510-CB1E-40C0-AFF6-505D87E473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G56" i="2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I3" i="3"/>
  <c r="H56" i="2"/>
  <c r="F56" i="2"/>
  <c r="M56" i="2"/>
  <c r="E56" i="2"/>
  <c r="L56" i="2"/>
  <c r="D56" i="2"/>
  <c r="K56" i="2"/>
  <c r="J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<sst xmlns="http://schemas.openxmlformats.org/spreadsheetml/2006/main" count="391" uniqueCount="275">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</sst>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266</v>
      </c>
    </row>
    <row r="5" spans="1:5" ht="13.9" x14ac:dyDescent="0.4">
      <c r="B5" s="139" t="s">
        <v>181</v>
      </c>
      <c r="C5" s="188" t="s">
        <v>267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268</v>
      </c>
      <c r="E8" s="262"/>
    </row>
    <row r="9" spans="1:5" ht="13.9" x14ac:dyDescent="0.4">
      <c r="B9" s="138" t="s">
        <v>202</v>
      </c>
      <c r="C9" s="189" t="s">
        <v>269</v>
      </c>
    </row>
    <row r="10" spans="1:5" ht="13.9" x14ac:dyDescent="0.4">
      <c r="B10" s="138" t="s">
        <v>203</v>
      </c>
      <c r="C10" s="190">
        <v>8171879936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45473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176</v>
      </c>
    </row>
    <row r="16" spans="1:5" ht="13.9" x14ac:dyDescent="0.4">
      <c r="B16" s="217" t="s">
        <v>93</v>
      </c>
      <c r="C16" s="218">
        <v>0.20500000000000002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271</v>
      </c>
      <c r="D19" s="24"/>
    </row>
    <row r="20" spans="2:13" ht="13.9" x14ac:dyDescent="0.4">
      <c r="B20" s="236" t="s">
        <v>213</v>
      </c>
      <c r="C20" s="237" t="s">
        <v>271</v>
      </c>
      <c r="D20" s="24"/>
    </row>
    <row r="21" spans="2:13" ht="13.9" x14ac:dyDescent="0.4">
      <c r="B21" s="219" t="s">
        <v>216</v>
      </c>
      <c r="C21" s="237" t="s">
        <v>270</v>
      </c>
      <c r="D21" s="24"/>
    </row>
    <row r="22" spans="2:13" ht="78.75" x14ac:dyDescent="0.4">
      <c r="B22" s="221" t="s">
        <v>215</v>
      </c>
      <c r="C22" s="238" t="s">
        <v>272</v>
      </c>
      <c r="D22" s="24"/>
    </row>
    <row r="24" spans="2:13" ht="13.9" x14ac:dyDescent="0.4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3" t="s">
        <v>12</v>
      </c>
      <c r="C25" s="147">
        <v>8765</v>
      </c>
      <c r="D25" s="147">
        <v>11881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5344</v>
      </c>
      <c r="D26" s="148">
        <v>6492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1084</v>
      </c>
      <c r="D27" s="148">
        <v>1129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94</v>
      </c>
      <c r="D29" s="148">
        <v>96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-151</v>
      </c>
      <c r="D30" s="148">
        <v>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910</v>
      </c>
      <c r="D31" s="148">
        <v>2541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160</v>
      </c>
      <c r="D32" s="148">
        <v>198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69</v>
      </c>
      <c r="D33" s="148">
        <v>108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67641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7251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16389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14028</v>
      </c>
      <c r="D37" s="148">
        <v>10902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5263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166316</v>
      </c>
      <c r="D41" s="148">
        <v>163105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526</v>
      </c>
      <c r="D42" s="148">
        <v>756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0.57999999999999996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7.4550128534704357E-2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45574</v>
      </c>
      <c r="D48" s="60">
        <v>0.9</v>
      </c>
      <c r="E48" s="111"/>
    </row>
    <row r="49" spans="2:5" ht="13.9" x14ac:dyDescent="0.4">
      <c r="B49" s="1" t="s">
        <v>130</v>
      </c>
      <c r="C49" s="59">
        <v>843</v>
      </c>
      <c r="D49" s="60">
        <v>0.8</v>
      </c>
      <c r="E49" s="111"/>
    </row>
    <row r="50" spans="2:5" ht="13.9" x14ac:dyDescent="0.4">
      <c r="B50" s="3" t="s">
        <v>112</v>
      </c>
      <c r="C50" s="59">
        <v>8192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13</v>
      </c>
      <c r="D51" s="60">
        <v>0.6</v>
      </c>
      <c r="E51" s="111"/>
    </row>
    <row r="52" spans="2:5" ht="13.9" x14ac:dyDescent="0.4">
      <c r="B52" s="3" t="s">
        <v>40</v>
      </c>
      <c r="C52" s="59">
        <v>6</v>
      </c>
      <c r="D52" s="60">
        <v>0.5</v>
      </c>
      <c r="E52" s="111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0</v>
      </c>
      <c r="D54" s="60">
        <v>0.1</v>
      </c>
      <c r="E54" s="111"/>
    </row>
    <row r="55" spans="2:5" ht="13.9" x14ac:dyDescent="0.4">
      <c r="B55" s="3" t="s">
        <v>43</v>
      </c>
      <c r="C55" s="59">
        <v>6401</v>
      </c>
      <c r="D55" s="60">
        <f>D52</f>
        <v>0.5</v>
      </c>
      <c r="E55" s="111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>
        <v>9403</v>
      </c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3</v>
      </c>
      <c r="D58" s="60">
        <f>D48</f>
        <v>0.9</v>
      </c>
      <c r="E58" s="111"/>
    </row>
    <row r="59" spans="2:5" ht="13.9" x14ac:dyDescent="0.4">
      <c r="B59" s="35" t="s">
        <v>47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59</v>
      </c>
      <c r="C61" s="59">
        <v>1241</v>
      </c>
      <c r="D61" s="60">
        <f>D51</f>
        <v>0.6</v>
      </c>
      <c r="E61" s="111"/>
    </row>
    <row r="62" spans="2:5" ht="13.9" x14ac:dyDescent="0.4">
      <c r="B62" s="3" t="s">
        <v>61</v>
      </c>
      <c r="C62" s="59">
        <v>69365</v>
      </c>
      <c r="D62" s="60">
        <f>D52</f>
        <v>0.5</v>
      </c>
      <c r="E62" s="111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13047</v>
      </c>
      <c r="D64" s="60">
        <v>0.4</v>
      </c>
      <c r="E64" s="111"/>
    </row>
    <row r="65" spans="2:5" ht="13.9" x14ac:dyDescent="0.4">
      <c r="B65" s="3" t="s">
        <v>66</v>
      </c>
      <c r="C65" s="59">
        <v>23342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1641</v>
      </c>
      <c r="D66" s="60">
        <v>0.3</v>
      </c>
      <c r="E66" s="216" t="s">
        <v>42</v>
      </c>
    </row>
    <row r="67" spans="2:5" ht="13.9" x14ac:dyDescent="0.4">
      <c r="B67" s="1" t="s">
        <v>45</v>
      </c>
      <c r="C67" s="59">
        <v>0</v>
      </c>
      <c r="D67" s="60">
        <v>0.2</v>
      </c>
      <c r="E67" s="216" t="s">
        <v>42</v>
      </c>
    </row>
    <row r="68" spans="2:5" ht="13.9" x14ac:dyDescent="0.4">
      <c r="B68" s="3" t="s">
        <v>114</v>
      </c>
      <c r="C68" s="59">
        <v>1263</v>
      </c>
      <c r="D68" s="60">
        <f>D65</f>
        <v>0.1</v>
      </c>
      <c r="E68" s="111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70</v>
      </c>
      <c r="C70" s="59">
        <v>0</v>
      </c>
      <c r="D70" s="60">
        <v>0.05</v>
      </c>
      <c r="E70" s="111"/>
    </row>
    <row r="71" spans="2:5" ht="13.9" x14ac:dyDescent="0.4">
      <c r="B71" s="3" t="s">
        <v>71</v>
      </c>
      <c r="C71" s="59">
        <v>10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0</v>
      </c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20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7818</v>
      </c>
    </row>
    <row r="78" spans="2:5" ht="14.25" thickTop="1" x14ac:dyDescent="0.4">
      <c r="B78" s="3" t="s">
        <v>58</v>
      </c>
      <c r="C78" s="59">
        <v>832</v>
      </c>
    </row>
    <row r="79" spans="2:5" ht="13.9" x14ac:dyDescent="0.4">
      <c r="B79" s="3" t="s">
        <v>60</v>
      </c>
      <c r="C79" s="59">
        <v>15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262</v>
      </c>
      <c r="C82" s="212">
        <v>6210</v>
      </c>
    </row>
    <row r="83" spans="2:8" ht="14.25" hidden="1" thickTop="1" x14ac:dyDescent="0.4">
      <c r="B83" s="73" t="s">
        <v>263</v>
      </c>
      <c r="C83" s="212">
        <v>165790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45473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8765</v>
      </c>
      <c r="D91" s="204"/>
      <c r="E91" s="246">
        <f>C91</f>
        <v>8765</v>
      </c>
      <c r="F91" s="246">
        <f>C91*1.2</f>
        <v>10518</v>
      </c>
    </row>
    <row r="92" spans="2:8" ht="13.9" x14ac:dyDescent="0.4">
      <c r="B92" s="103" t="s">
        <v>102</v>
      </c>
      <c r="C92" s="77">
        <f>C26</f>
        <v>5344</v>
      </c>
      <c r="D92" s="156">
        <f>C92/C91</f>
        <v>0.60969766115231028</v>
      </c>
      <c r="E92" s="247">
        <f>E91*D92</f>
        <v>5344</v>
      </c>
      <c r="F92" s="247">
        <f>F91*D92</f>
        <v>6412.7999999999993</v>
      </c>
    </row>
    <row r="93" spans="2:8" ht="13.9" x14ac:dyDescent="0.4">
      <c r="B93" s="103" t="s">
        <v>230</v>
      </c>
      <c r="C93" s="77">
        <f>C27+C28</f>
        <v>1084</v>
      </c>
      <c r="D93" s="156">
        <f>C93/C91</f>
        <v>0.12367370222475756</v>
      </c>
      <c r="E93" s="247">
        <f>E91*D93</f>
        <v>1084</v>
      </c>
      <c r="F93" s="247">
        <f>F91*D93</f>
        <v>1300.8</v>
      </c>
    </row>
    <row r="94" spans="2:8" ht="13.9" x14ac:dyDescent="0.4">
      <c r="B94" s="103" t="s">
        <v>237</v>
      </c>
      <c r="C94" s="77">
        <f>C29</f>
        <v>94</v>
      </c>
      <c r="D94" s="156">
        <f>C94/C91</f>
        <v>1.0724472333143184E-2</v>
      </c>
      <c r="E94" s="248"/>
      <c r="F94" s="247">
        <f>F91*D94</f>
        <v>112.80000000000001</v>
      </c>
    </row>
    <row r="95" spans="2:8" ht="13.9" x14ac:dyDescent="0.4">
      <c r="B95" s="28" t="s">
        <v>229</v>
      </c>
      <c r="C95" s="77">
        <f>ABS(MAX(C33,0)-C32)</f>
        <v>91</v>
      </c>
      <c r="D95" s="156">
        <f>C95/C91</f>
        <v>1.038220193953223E-2</v>
      </c>
      <c r="E95" s="247">
        <f>E91*D95</f>
        <v>91</v>
      </c>
      <c r="F95" s="247">
        <f>F91*D95</f>
        <v>109.2</v>
      </c>
    </row>
    <row r="96" spans="2:8" ht="13.9" x14ac:dyDescent="0.4">
      <c r="B96" s="28" t="s">
        <v>106</v>
      </c>
      <c r="C96" s="77">
        <f>MAX(C31,0)</f>
        <v>910</v>
      </c>
      <c r="D96" s="156">
        <f>C96/C91</f>
        <v>0.1038220193953223</v>
      </c>
      <c r="E96" s="248"/>
      <c r="F96" s="247">
        <f>F91*2%</f>
        <v>210.36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0.57999999999999996</v>
      </c>
      <c r="D98" s="261"/>
      <c r="E98" s="249">
        <f>F98</f>
        <v>0.57999999999999996</v>
      </c>
      <c r="F98" s="249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0083.HK</v>
      </c>
      <c r="D3" s="289"/>
      <c r="E3" s="86"/>
      <c r="F3" s="3" t="s">
        <v>1</v>
      </c>
      <c r="G3" s="130">
        <v>7.78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SINO LAND</v>
      </c>
      <c r="D4" s="291"/>
      <c r="E4" s="86"/>
      <c r="F4" s="3" t="s">
        <v>3</v>
      </c>
      <c r="G4" s="294">
        <f>Inputs!C10</f>
        <v>8171879936</v>
      </c>
      <c r="H4" s="294"/>
      <c r="I4" s="39"/>
    </row>
    <row r="5" spans="1:10" ht="15.75" customHeight="1" x14ac:dyDescent="0.4">
      <c r="B5" s="3" t="s">
        <v>155</v>
      </c>
      <c r="C5" s="292">
        <f>Inputs!C6</f>
        <v>45593</v>
      </c>
      <c r="D5" s="293"/>
      <c r="E5" s="34"/>
      <c r="F5" s="35" t="s">
        <v>96</v>
      </c>
      <c r="G5" s="286">
        <f>G3*G4/1000000</f>
        <v>63577.225902080005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248</v>
      </c>
      <c r="C20" s="271">
        <f>C23*C22*(1/C21)</f>
        <v>1.4096145726521505E-2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246</v>
      </c>
      <c r="C21" s="273">
        <f>Data!C53</f>
        <v>0.91929867364592111</v>
      </c>
      <c r="F21" s="86"/>
      <c r="G21" s="29"/>
    </row>
    <row r="22" spans="1:8" ht="15.75" customHeight="1" x14ac:dyDescent="0.4">
      <c r="B22" s="274" t="s">
        <v>260</v>
      </c>
      <c r="C22" s="275">
        <f>Data!C48</f>
        <v>4.8601561460320276E-2</v>
      </c>
      <c r="F22" s="140" t="s">
        <v>171</v>
      </c>
    </row>
    <row r="23" spans="1:8" ht="15.75" customHeight="1" thickBot="1" x14ac:dyDescent="0.45">
      <c r="B23" s="276" t="s">
        <v>253</v>
      </c>
      <c r="C23" s="277">
        <f>Data!C13</f>
        <v>0.26662863662293212</v>
      </c>
      <c r="F23" s="138" t="s">
        <v>175</v>
      </c>
      <c r="G23" s="174">
        <f>G3/(Data!C34*Data!C4/Common_Shares*Exchange_Rate)</f>
        <v>0.38226764654080186</v>
      </c>
    </row>
    <row r="24" spans="1:8" ht="15.75" customHeight="1" x14ac:dyDescent="0.4">
      <c r="B24" s="135" t="s">
        <v>254</v>
      </c>
      <c r="C24" s="168">
        <f>Fin_Analysis!I81</f>
        <v>1.0724472333143184E-2</v>
      </c>
      <c r="F24" s="138" t="s">
        <v>239</v>
      </c>
      <c r="G24" s="263">
        <f>G3/(Fin_Analysis!H86*G7)</f>
        <v>33.714167272031538</v>
      </c>
    </row>
    <row r="25" spans="1:8" ht="15.75" customHeight="1" x14ac:dyDescent="0.4">
      <c r="B25" s="135" t="s">
        <v>255</v>
      </c>
      <c r="C25" s="168">
        <f>Fin_Analysis!I80</f>
        <v>0.02</v>
      </c>
      <c r="F25" s="138" t="s">
        <v>162</v>
      </c>
      <c r="G25" s="168">
        <f>Fin_Analysis!I88</f>
        <v>2.5133955035704743</v>
      </c>
    </row>
    <row r="26" spans="1:8" ht="15.75" customHeight="1" x14ac:dyDescent="0.4">
      <c r="B26" s="136" t="s">
        <v>256</v>
      </c>
      <c r="C26" s="168">
        <f>Fin_Analysis!I80+Fin_Analysis!I82</f>
        <v>3.0382201939532231E-2</v>
      </c>
      <c r="F26" s="139" t="s">
        <v>179</v>
      </c>
      <c r="G26" s="175">
        <f>Fin_Analysis!H88*Exchange_Rate/G3</f>
        <v>7.4550128534704357E-2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238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7.4613699784552878</v>
      </c>
      <c r="D29" s="127">
        <f>G29*(1+G20)</f>
        <v>12.512964032561872</v>
      </c>
      <c r="E29" s="86"/>
      <c r="F29" s="129">
        <f>IF(Fin_Analysis!C108="Profit",Fin_Analysis!F100,IF(Fin_Analysis!C108="Dividend",Fin_Analysis!F103,Fin_Analysis!F106))</f>
        <v>8.7780823275944559</v>
      </c>
      <c r="G29" s="285">
        <f>IF(Fin_Analysis!C108="Profit",Fin_Analysis!I100,IF(Fin_Analysis!C108="Dividend",Fin_Analysis!I103,Fin_Analysis!I106))</f>
        <v>10.880838289184236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45473</v>
      </c>
      <c r="E3" s="144" t="s">
        <v>186</v>
      </c>
      <c r="F3" s="84" t="str">
        <f>H14</f>
        <v/>
      </c>
      <c r="G3" s="84">
        <f>C14</f>
        <v>2337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3" t="s">
        <v>12</v>
      </c>
      <c r="C6" s="197">
        <f>IF(Inputs!C25=""," ",Inputs!C25)</f>
        <v>8765</v>
      </c>
      <c r="D6" s="197">
        <f>IF(Inputs!D25="","",Inputs!D25)</f>
        <v>11881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-0.26226748590186011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5344</v>
      </c>
      <c r="D8" s="196">
        <f>IF(Inputs!D26="","",Inputs!D26)</f>
        <v>6492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3421</v>
      </c>
      <c r="D9" s="149">
        <f t="shared" si="2"/>
        <v>5389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1084</v>
      </c>
      <c r="D10" s="196">
        <f>IF(Inputs!D27="","",Inputs!D27)</f>
        <v>1129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38.9937106918239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0.26662863662293212</v>
      </c>
      <c r="D13" s="224">
        <f t="shared" si="3"/>
        <v>0.35527365451630133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2337</v>
      </c>
      <c r="D14" s="225">
        <f t="shared" ref="D14:M14" si="4">IF(D6="","",D9-D10-MAX(D11,0)-MAX(D12,0))</f>
        <v>4221.0062893081758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-0.44634055487677682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910</v>
      </c>
      <c r="D16" s="196">
        <f>IF(Inputs!D31="","",Inputs!D31)</f>
        <v>2541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94</v>
      </c>
      <c r="D17" s="196">
        <f>IF(Inputs!D29="","",Inputs!D29)</f>
        <v>96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1.825442099258414E-2</v>
      </c>
      <c r="D18" s="150">
        <f t="shared" si="6"/>
        <v>1.6665263866677889E-2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160</v>
      </c>
      <c r="D19" s="196">
        <f>IF(Inputs!D32="","",Inputs!D32)</f>
        <v>198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7.8722190530519116E-3</v>
      </c>
      <c r="D20" s="150">
        <f t="shared" si="7"/>
        <v>9.0901439272788494E-3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69</v>
      </c>
      <c r="D21" s="196">
        <f>IF(Inputs!D33="","",Inputs!D33)</f>
        <v>108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1242</v>
      </c>
      <c r="D22" s="158">
        <f t="shared" ref="D22:M22" si="8">IF(D6="","",D14-MAX(D16,0)-MAX(D17,0)-ABS(MAX(D21,0)-MAX(D19,0)))</f>
        <v>1494.0062893081758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0.11265145464917284</v>
      </c>
      <c r="D23" s="151">
        <f t="shared" si="9"/>
        <v>9.9969278680245743E-2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-0.16867819841968104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180344</v>
      </c>
      <c r="D27" s="65">
        <f>IF(D34="","",D34+D30)</f>
        <v>174007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8192</v>
      </c>
      <c r="D28" s="196">
        <f>IF(Inputs!D35="","",Inputs!D35)</f>
        <v>7251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6401</v>
      </c>
      <c r="D29" s="196">
        <f>IF(Inputs!D36="","",Inputs!D36)</f>
        <v>16389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14028</v>
      </c>
      <c r="D30" s="196">
        <f>IF(Inputs!D37="","",Inputs!D37)</f>
        <v>10902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20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847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867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166316</v>
      </c>
      <c r="D34" s="196">
        <f>IF(Inputs!D41="","",Inputs!D41)</f>
        <v>163105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526</v>
      </c>
      <c r="D35" s="196">
        <f>IF(Inputs!D42="","",Inputs!D42)</f>
        <v>756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40803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5.727520035291523E-2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0.60969766115231028</v>
      </c>
      <c r="D40" s="154">
        <f t="shared" si="34"/>
        <v>0.54641865162865078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0.12367370222475756</v>
      </c>
      <c r="D41" s="151">
        <f t="shared" si="35"/>
        <v>9.5025671239794635E-2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0.1038220193953223</v>
      </c>
      <c r="D42" s="151">
        <f t="shared" si="36"/>
        <v>0.21387088628903292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1.0724472333143184E-2</v>
      </c>
      <c r="D43" s="151">
        <f t="shared" si="37"/>
        <v>8.0801279353589772E-3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3.2820226152532532E-3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1.038220193953223E-2</v>
      </c>
      <c r="D45" s="151">
        <f t="shared" si="39"/>
        <v>7.5751199393990403E-3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0.1416999429549344</v>
      </c>
      <c r="D46" s="151">
        <f t="shared" si="40"/>
        <v>0.12574752035251038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4.8601561460320276E-2</v>
      </c>
      <c r="D48" s="267">
        <f t="shared" si="41"/>
        <v>6.8278862344618316E-2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0.93462635482030809</v>
      </c>
      <c r="D49" s="151">
        <f t="shared" si="42"/>
        <v>0.61030216311758267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0.73029092983456934</v>
      </c>
      <c r="D50" s="151">
        <f t="shared" si="43"/>
        <v>1.3794293409645653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-0.2920410783055199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0.91929867364592111</v>
      </c>
      <c r="D53" s="154">
        <f t="shared" si="45"/>
        <v>0.93300269529386748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1.4325259515570934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7.5684380032206122E-2</v>
      </c>
      <c r="D55" s="151">
        <f t="shared" si="47"/>
        <v>6.4256757610072962E-2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3.0245909647313038E-2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1.4096145726521504E-2</v>
      </c>
      <c r="D58" s="269">
        <f t="shared" si="49"/>
        <v>2.5999582931266443E-2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7.4914047891911457E-3</v>
      </c>
      <c r="D59" s="269">
        <f t="shared" si="50"/>
        <v>9.2024360440050492E-3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166316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165790</v>
      </c>
      <c r="K3" s="24"/>
    </row>
    <row r="4" spans="1:11" ht="15" customHeight="1" x14ac:dyDescent="0.4">
      <c r="B4" s="3" t="s">
        <v>23</v>
      </c>
      <c r="C4" s="86"/>
      <c r="D4" s="196">
        <f>Inputs!C42</f>
        <v>526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84515.700000000012</v>
      </c>
      <c r="E6" s="56">
        <f>1-D6/D3</f>
        <v>0.49183662425743757</v>
      </c>
      <c r="F6" s="86"/>
      <c r="G6" s="86"/>
      <c r="H6" s="1" t="s">
        <v>26</v>
      </c>
      <c r="I6" s="63">
        <f>(C24+C25)/I28</f>
        <v>6.9874648247633662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10.342259145007587</v>
      </c>
      <c r="E7" s="11" t="str">
        <f>Dashboard!H3</f>
        <v>HKD</v>
      </c>
      <c r="H7" s="1" t="s">
        <v>27</v>
      </c>
      <c r="I7" s="63">
        <f>C24/I28</f>
        <v>6.9866973650550017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45574</v>
      </c>
      <c r="D11" s="195">
        <f>Inputs!D48</f>
        <v>0.9</v>
      </c>
      <c r="E11" s="87">
        <f t="shared" ref="E11:E22" si="0">C11*D11</f>
        <v>41016.6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843</v>
      </c>
      <c r="D12" s="195">
        <f>Inputs!D49</f>
        <v>0.8</v>
      </c>
      <c r="E12" s="87">
        <f t="shared" si="0"/>
        <v>674.40000000000009</v>
      </c>
      <c r="F12" s="111"/>
      <c r="G12" s="86"/>
      <c r="H12" s="3" t="s">
        <v>36</v>
      </c>
      <c r="I12" s="40">
        <f>Inputs!C74</f>
        <v>20</v>
      </c>
      <c r="J12" s="86"/>
      <c r="K12" s="24"/>
    </row>
    <row r="13" spans="1:11" ht="13.9" x14ac:dyDescent="0.4">
      <c r="B13" s="3" t="s">
        <v>112</v>
      </c>
      <c r="C13" s="40">
        <f>Inputs!C50</f>
        <v>8192</v>
      </c>
      <c r="D13" s="195">
        <f>Inputs!D50</f>
        <v>0.6</v>
      </c>
      <c r="E13" s="87">
        <f t="shared" si="0"/>
        <v>4915.2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13</v>
      </c>
      <c r="D14" s="195">
        <f>Inputs!D51</f>
        <v>0.6</v>
      </c>
      <c r="E14" s="87">
        <f t="shared" si="0"/>
        <v>7.8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6</v>
      </c>
      <c r="D15" s="195">
        <f>Inputs!D52</f>
        <v>0.5</v>
      </c>
      <c r="E15" s="87">
        <f t="shared" si="0"/>
        <v>3</v>
      </c>
      <c r="F15" s="111"/>
      <c r="G15" s="86"/>
      <c r="H15" s="1" t="s">
        <v>50</v>
      </c>
      <c r="I15" s="83">
        <f>SUM(I11:I14)</f>
        <v>20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6401</v>
      </c>
      <c r="D18" s="195">
        <f>Inputs!D55</f>
        <v>0.5</v>
      </c>
      <c r="E18" s="87">
        <f t="shared" si="0"/>
        <v>3200.5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9403</v>
      </c>
      <c r="D20" s="195">
        <f>Inputs!D57</f>
        <v>0.6</v>
      </c>
      <c r="E20" s="87">
        <f t="shared" si="0"/>
        <v>5641.8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</v>
      </c>
      <c r="D21" s="195">
        <f>Inputs!D58</f>
        <v>0.9</v>
      </c>
      <c r="E21" s="87">
        <f t="shared" si="0"/>
        <v>2.7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7798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54622</v>
      </c>
      <c r="D24" s="62">
        <f>IF(E24=0,0,E24/C24)</f>
        <v>0.85339240599026034</v>
      </c>
      <c r="E24" s="87">
        <f>SUM(E11:E14)</f>
        <v>46614</v>
      </c>
      <c r="F24" s="112">
        <f>E24/$E$28</f>
        <v>0.8404673470123688</v>
      </c>
      <c r="G24" s="86"/>
    </row>
    <row r="25" spans="2:10" ht="15" customHeight="1" x14ac:dyDescent="0.4">
      <c r="B25" s="23" t="s">
        <v>51</v>
      </c>
      <c r="C25" s="61">
        <f>SUM(C15:C17)</f>
        <v>6</v>
      </c>
      <c r="D25" s="62">
        <f>IF(E25=0,0,E25/C25)</f>
        <v>0.5</v>
      </c>
      <c r="E25" s="87">
        <f>SUM(E15:E17)</f>
        <v>3</v>
      </c>
      <c r="F25" s="112">
        <f>E25/$E$28</f>
        <v>5.4091089394540409E-5</v>
      </c>
      <c r="G25" s="86"/>
      <c r="H25" s="23" t="s">
        <v>52</v>
      </c>
      <c r="I25" s="63">
        <f>E28/I28</f>
        <v>7.0941417242261444</v>
      </c>
    </row>
    <row r="26" spans="2:10" ht="15" customHeight="1" x14ac:dyDescent="0.4">
      <c r="B26" s="23" t="s">
        <v>53</v>
      </c>
      <c r="C26" s="61">
        <f>C18+C19+C20</f>
        <v>15804</v>
      </c>
      <c r="D26" s="62">
        <f>IF(E26=0,0,E26/C26)</f>
        <v>0.55949759554543144</v>
      </c>
      <c r="E26" s="87">
        <f>E18+E19+E20</f>
        <v>8842.2999999999993</v>
      </c>
      <c r="F26" s="112">
        <f>E26/$E$28</f>
        <v>0.15942987991778154</v>
      </c>
      <c r="G26" s="86"/>
      <c r="H26" s="23" t="s">
        <v>54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</v>
      </c>
      <c r="D27" s="62">
        <f>IF(E27=0,0,E27/C27)</f>
        <v>0.9</v>
      </c>
      <c r="E27" s="87">
        <f>E21+E22</f>
        <v>2.7</v>
      </c>
      <c r="F27" s="112">
        <f>E27/$E$28</f>
        <v>4.8681980455086372E-5</v>
      </c>
      <c r="G27" s="86"/>
      <c r="H27" s="23" t="s">
        <v>56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1"/>
      <c r="G28" s="86"/>
      <c r="H28" s="78" t="s">
        <v>16</v>
      </c>
      <c r="I28" s="202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832</v>
      </c>
      <c r="J30" s="86"/>
    </row>
    <row r="31" spans="2:10" ht="15" customHeight="1" x14ac:dyDescent="0.4">
      <c r="B31" s="3" t="s">
        <v>59</v>
      </c>
      <c r="C31" s="40">
        <f>Inputs!C61</f>
        <v>1241</v>
      </c>
      <c r="D31" s="195">
        <f>Inputs!D61</f>
        <v>0.6</v>
      </c>
      <c r="E31" s="87">
        <f t="shared" ref="E31:E42" si="1">C31*D31</f>
        <v>744.6</v>
      </c>
      <c r="F31" s="111"/>
      <c r="G31" s="86"/>
      <c r="H31" s="3" t="s">
        <v>60</v>
      </c>
      <c r="I31" s="40">
        <f>Inputs!C79</f>
        <v>15</v>
      </c>
      <c r="J31" s="86"/>
    </row>
    <row r="32" spans="2:10" ht="15" customHeight="1" x14ac:dyDescent="0.4">
      <c r="B32" s="3" t="s">
        <v>61</v>
      </c>
      <c r="C32" s="40">
        <f>Inputs!C62</f>
        <v>69365</v>
      </c>
      <c r="D32" s="195">
        <f>Inputs!D62</f>
        <v>0.5</v>
      </c>
      <c r="E32" s="87">
        <f t="shared" si="1"/>
        <v>34682.5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13047</v>
      </c>
      <c r="D34" s="195">
        <f>Inputs!D64</f>
        <v>0.4</v>
      </c>
      <c r="E34" s="87">
        <f t="shared" si="1"/>
        <v>5218.8</v>
      </c>
      <c r="F34" s="111"/>
      <c r="G34" s="86"/>
      <c r="H34" s="1" t="s">
        <v>74</v>
      </c>
      <c r="I34" s="83">
        <f>SUM(I30:I33)</f>
        <v>847</v>
      </c>
      <c r="J34" s="86"/>
    </row>
    <row r="35" spans="2:10" ht="13.9" x14ac:dyDescent="0.4">
      <c r="B35" s="3" t="s">
        <v>66</v>
      </c>
      <c r="C35" s="40">
        <f>Inputs!C65</f>
        <v>23342</v>
      </c>
      <c r="D35" s="195">
        <f>Inputs!D65</f>
        <v>0.1</v>
      </c>
      <c r="E35" s="87">
        <f t="shared" si="1"/>
        <v>2334.2000000000003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1641</v>
      </c>
      <c r="D36" s="195">
        <f>Inputs!D66</f>
        <v>0.3</v>
      </c>
      <c r="E36" s="87">
        <f t="shared" si="1"/>
        <v>492.29999999999995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1263</v>
      </c>
      <c r="D38" s="195">
        <f>Inputs!D68</f>
        <v>0.1</v>
      </c>
      <c r="E38" s="87">
        <f t="shared" si="1"/>
        <v>126.30000000000001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10</v>
      </c>
      <c r="D41" s="195">
        <f>Inputs!D71</f>
        <v>0.9</v>
      </c>
      <c r="E41" s="87">
        <f t="shared" si="1"/>
        <v>9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5363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1241</v>
      </c>
      <c r="D44" s="62">
        <f>IF(E44=0,0,E44/C44)</f>
        <v>0.6</v>
      </c>
      <c r="E44" s="87">
        <f>SUM(E30:E31)</f>
        <v>744.6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105754</v>
      </c>
      <c r="D45" s="62">
        <f>IF(E45=0,0,E45/C45)</f>
        <v>0.39937496454034838</v>
      </c>
      <c r="E45" s="87">
        <f>SUM(E32:E35)</f>
        <v>42235.5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2904</v>
      </c>
      <c r="D46" s="62">
        <f>IF(E46=0,0,E46/C46)</f>
        <v>0.21301652892561981</v>
      </c>
      <c r="E46" s="87">
        <f>E36+E37+E38+E39</f>
        <v>618.59999999999991</v>
      </c>
      <c r="F46" s="86"/>
      <c r="G46" s="86"/>
      <c r="H46" s="23" t="s">
        <v>77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10</v>
      </c>
      <c r="D47" s="62">
        <f>IF(E47=0,0,E47/C47)</f>
        <v>0.9</v>
      </c>
      <c r="E47" s="87">
        <f>E40+E41+E42</f>
        <v>9</v>
      </c>
      <c r="F47" s="86"/>
      <c r="G47" s="86"/>
      <c r="H47" s="23" t="s">
        <v>79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81">
        <f>SUM(C30:C42)</f>
        <v>109909</v>
      </c>
      <c r="D48" s="81">
        <f>E48/C48</f>
        <v>0.39676186663512547</v>
      </c>
      <c r="E48" s="76">
        <f>SUM(E30:E42)</f>
        <v>43607.700000000004</v>
      </c>
      <c r="F48" s="86"/>
      <c r="G48" s="86"/>
      <c r="H48" s="80" t="s">
        <v>81</v>
      </c>
      <c r="I48" s="279">
        <f>I49-I28</f>
        <v>6210</v>
      </c>
      <c r="J48" s="8"/>
    </row>
    <row r="49" spans="2:11" ht="15" customHeight="1" thickTop="1" x14ac:dyDescent="0.4">
      <c r="B49" s="3" t="s">
        <v>14</v>
      </c>
      <c r="C49" s="61">
        <f>Inputs!C41+Inputs!C37</f>
        <v>180344</v>
      </c>
      <c r="D49" s="56">
        <f>E49/C49</f>
        <v>0.54933737745641664</v>
      </c>
      <c r="E49" s="87">
        <f>E28+E48</f>
        <v>99069.700000000012</v>
      </c>
      <c r="F49" s="86"/>
      <c r="G49" s="86"/>
      <c r="H49" s="3" t="s">
        <v>82</v>
      </c>
      <c r="I49" s="40">
        <f>Inputs!C37</f>
        <v>14028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526</v>
      </c>
      <c r="D53" s="29">
        <f>IF(E53=0, 0,E53/C53)</f>
        <v>1</v>
      </c>
      <c r="E53" s="87">
        <f>IF(C53=0,0,MAX(C53,C53*Dashboard!G23))</f>
        <v>526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867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45574</v>
      </c>
      <c r="D62" s="106">
        <f t="shared" si="2"/>
        <v>0.9</v>
      </c>
      <c r="E62" s="116">
        <f>E11+E30</f>
        <v>41016.6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867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13161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45473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8765</v>
      </c>
      <c r="D74" s="204"/>
      <c r="E74" s="233">
        <f>Inputs!E91</f>
        <v>8765</v>
      </c>
      <c r="F74" s="204"/>
      <c r="H74" s="233">
        <f>Inputs!F91</f>
        <v>10518</v>
      </c>
      <c r="I74" s="204"/>
      <c r="K74" s="24"/>
    </row>
    <row r="75" spans="1:11" ht="15" customHeight="1" x14ac:dyDescent="0.4">
      <c r="B75" s="103" t="s">
        <v>102</v>
      </c>
      <c r="C75" s="77">
        <f>Data!C8</f>
        <v>5344</v>
      </c>
      <c r="D75" s="156">
        <f>C75/$C$74</f>
        <v>0.60969766115231028</v>
      </c>
      <c r="E75" s="233">
        <f>Inputs!E92</f>
        <v>5344</v>
      </c>
      <c r="F75" s="157">
        <f>E75/E74</f>
        <v>0.60969766115231028</v>
      </c>
      <c r="H75" s="233">
        <f>Inputs!F92</f>
        <v>6412.7999999999993</v>
      </c>
      <c r="I75" s="157">
        <f>H75/$H$74</f>
        <v>0.60969766115231028</v>
      </c>
      <c r="K75" s="24"/>
    </row>
    <row r="76" spans="1:11" ht="15" customHeight="1" x14ac:dyDescent="0.4">
      <c r="B76" s="35" t="s">
        <v>92</v>
      </c>
      <c r="C76" s="158">
        <f>C74-C75</f>
        <v>3421</v>
      </c>
      <c r="D76" s="205"/>
      <c r="E76" s="159">
        <f>E74-E75</f>
        <v>3421</v>
      </c>
      <c r="F76" s="205"/>
      <c r="H76" s="159">
        <f>H74-H75</f>
        <v>4105.2000000000007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1084</v>
      </c>
      <c r="D77" s="156">
        <f>C77/$C$74</f>
        <v>0.12367370222475756</v>
      </c>
      <c r="E77" s="233">
        <f>Inputs!E93</f>
        <v>1084</v>
      </c>
      <c r="F77" s="157">
        <f>E77/E74</f>
        <v>0.12367370222475756</v>
      </c>
      <c r="H77" s="233">
        <f>Inputs!F93</f>
        <v>1300.8</v>
      </c>
      <c r="I77" s="157">
        <f>H77/$H$74</f>
        <v>0.12367370222475756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2337</v>
      </c>
      <c r="D79" s="253">
        <f>C79/C74</f>
        <v>0.26662863662293212</v>
      </c>
      <c r="E79" s="254">
        <f>E76-E77-E78</f>
        <v>2337</v>
      </c>
      <c r="F79" s="253">
        <f>E79/E74</f>
        <v>0.26662863662293212</v>
      </c>
      <c r="G79" s="255"/>
      <c r="H79" s="254">
        <f>H76-H77-H78</f>
        <v>2804.4000000000005</v>
      </c>
      <c r="I79" s="253">
        <f>H79/H74</f>
        <v>0.26662863662293218</v>
      </c>
      <c r="K79" s="24"/>
    </row>
    <row r="80" spans="1:11" ht="15" customHeight="1" x14ac:dyDescent="0.4">
      <c r="B80" s="28" t="s">
        <v>106</v>
      </c>
      <c r="C80" s="77">
        <f>MAX(Data!C16,0)</f>
        <v>910</v>
      </c>
      <c r="D80" s="156">
        <f>C80/$C$74</f>
        <v>0.1038220193953223</v>
      </c>
      <c r="E80" s="177">
        <f>E74*F80</f>
        <v>175.3</v>
      </c>
      <c r="F80" s="157">
        <f>I80</f>
        <v>0.02</v>
      </c>
      <c r="H80" s="233">
        <f>Inputs!F96</f>
        <v>210.36</v>
      </c>
      <c r="I80" s="157">
        <f>H80/$H$74</f>
        <v>0.02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94</v>
      </c>
      <c r="D81" s="156">
        <f>C81/$C$74</f>
        <v>1.0724472333143184E-2</v>
      </c>
      <c r="E81" s="177">
        <f>E74*F81</f>
        <v>94</v>
      </c>
      <c r="F81" s="157">
        <f>I81</f>
        <v>1.0724472333143184E-2</v>
      </c>
      <c r="H81" s="233">
        <f>Inputs!F94</f>
        <v>112.80000000000001</v>
      </c>
      <c r="I81" s="157">
        <f>H81/$H$74</f>
        <v>1.0724472333143184E-2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91</v>
      </c>
      <c r="D82" s="156">
        <f>C82/$C$74</f>
        <v>1.038220193953223E-2</v>
      </c>
      <c r="E82" s="233">
        <f>Inputs!E95</f>
        <v>91</v>
      </c>
      <c r="F82" s="157">
        <f>E82/E74</f>
        <v>1.038220193953223E-2</v>
      </c>
      <c r="H82" s="233">
        <f>Inputs!F95</f>
        <v>109.2</v>
      </c>
      <c r="I82" s="157">
        <f>H82/$H$74</f>
        <v>1.038220193953223E-2</v>
      </c>
      <c r="K82" s="24"/>
    </row>
    <row r="83" spans="1:11" ht="15" customHeight="1" thickBot="1" x14ac:dyDescent="0.45">
      <c r="B83" s="104" t="s">
        <v>120</v>
      </c>
      <c r="C83" s="160">
        <f>C79-C81-C82-C80</f>
        <v>1242</v>
      </c>
      <c r="D83" s="161">
        <f>C83/$C$74</f>
        <v>0.1416999429549344</v>
      </c>
      <c r="E83" s="162">
        <f>E79-E81-E82-E80</f>
        <v>1976.7</v>
      </c>
      <c r="F83" s="161">
        <f>E83/E74</f>
        <v>0.22552196235025671</v>
      </c>
      <c r="H83" s="162">
        <f>H79-H81-H82-H80</f>
        <v>2372.0400000000004</v>
      </c>
      <c r="I83" s="161">
        <f>H83/$H$74</f>
        <v>0.22552196235025673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0.20500000000000002</v>
      </c>
      <c r="E84" s="207"/>
      <c r="F84" s="176">
        <f t="shared" ref="F84" si="3">I84</f>
        <v>0.20500000000000002</v>
      </c>
      <c r="H84" s="207"/>
      <c r="I84" s="199">
        <f>Inputs!C16</f>
        <v>0.20500000000000002</v>
      </c>
      <c r="K84" s="24"/>
    </row>
    <row r="85" spans="1:11" ht="15" customHeight="1" x14ac:dyDescent="0.4">
      <c r="B85" s="258" t="s">
        <v>156</v>
      </c>
      <c r="C85" s="252">
        <f>C83*(1-I84)</f>
        <v>987.38999999999987</v>
      </c>
      <c r="D85" s="253">
        <f>C85/$C$74</f>
        <v>0.11265145464917284</v>
      </c>
      <c r="E85" s="259">
        <f>E83*(1-F84)</f>
        <v>1571.4765</v>
      </c>
      <c r="F85" s="253">
        <f>E85/E74</f>
        <v>0.17928996006845407</v>
      </c>
      <c r="G85" s="255"/>
      <c r="H85" s="259">
        <f>H83*(1-I84)</f>
        <v>1885.7718000000002</v>
      </c>
      <c r="I85" s="253">
        <f>H85/$H$74</f>
        <v>0.1792899600684541</v>
      </c>
      <c r="K85" s="24"/>
    </row>
    <row r="86" spans="1:11" ht="15" customHeight="1" x14ac:dyDescent="0.4">
      <c r="B86" s="86" t="s">
        <v>152</v>
      </c>
      <c r="C86" s="164">
        <f>C85*Data!C4/Common_Shares</f>
        <v>0.12082776640540205</v>
      </c>
      <c r="D86" s="204"/>
      <c r="E86" s="165">
        <f>E85*Data!C4/Common_Shares</f>
        <v>0.19230293546985366</v>
      </c>
      <c r="F86" s="204"/>
      <c r="H86" s="165">
        <f>H85*Data!C4/Common_Shares</f>
        <v>0.23076352256382443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1.5530561234627512E-2</v>
      </c>
      <c r="D87" s="204"/>
      <c r="E87" s="257">
        <f>E86*Exchange_Rate/Dashboard!G3</f>
        <v>2.4717600960135432E-2</v>
      </c>
      <c r="F87" s="204"/>
      <c r="H87" s="257">
        <f>H86*Exchange_Rate/Dashboard!G3</f>
        <v>2.9661121152162521E-2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0.57999999999999996</v>
      </c>
      <c r="D88" s="163">
        <f>C88/C86</f>
        <v>4.8002211516016979</v>
      </c>
      <c r="E88" s="167">
        <f>Inputs!E98</f>
        <v>0.57999999999999996</v>
      </c>
      <c r="F88" s="163">
        <f>E88/E86</f>
        <v>3.0160746042845692</v>
      </c>
      <c r="H88" s="167">
        <f>Inputs!F98</f>
        <v>0.57999999999999996</v>
      </c>
      <c r="I88" s="163">
        <f>H88/H86</f>
        <v>2.5133955035704743</v>
      </c>
      <c r="K88" s="24"/>
    </row>
    <row r="89" spans="1:11" ht="15" customHeight="1" x14ac:dyDescent="0.4">
      <c r="B89" s="86" t="s">
        <v>206</v>
      </c>
      <c r="C89" s="256">
        <f>C88*Exchange_Rate/Dashboard!G3</f>
        <v>7.4550128534704357E-2</v>
      </c>
      <c r="D89" s="204"/>
      <c r="E89" s="256">
        <f>E88*Exchange_Rate/Dashboard!G3</f>
        <v>7.4550128534704357E-2</v>
      </c>
      <c r="F89" s="204"/>
      <c r="H89" s="256">
        <f>H88*Exchange_Rate/Dashboard!G3</f>
        <v>7.4550128534704357E-2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3.5838938794048603</v>
      </c>
      <c r="H93" s="86" t="s">
        <v>195</v>
      </c>
      <c r="I93" s="142">
        <f>FV(H87,D93,0,-(H86/(C93-D94)))*Exchange_Rate</f>
        <v>4.4054165708617878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13.705965812491621</v>
      </c>
      <c r="H94" s="86" t="s">
        <v>196</v>
      </c>
      <c r="I94" s="142">
        <f>FV(H89,D93,0,-(H88/(C93-D94)))*Exchange_Rate</f>
        <v>13.705965812491621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17898.62860206046</v>
      </c>
      <c r="D97" s="208"/>
      <c r="E97" s="121">
        <f>PV(C94,D93,0,-F93)</f>
        <v>1.7818286586180314</v>
      </c>
      <c r="F97" s="208"/>
      <c r="H97" s="121">
        <f>PV(C94,D93,0,-I93)</f>
        <v>2.190270628330051</v>
      </c>
      <c r="I97" s="121">
        <f>PV(C93,D93,0,-I93)</f>
        <v>2.9895920362638981</v>
      </c>
      <c r="K97" s="24"/>
    </row>
    <row r="98" spans="2:11" ht="15" customHeight="1" x14ac:dyDescent="0.4">
      <c r="B98" s="28" t="s">
        <v>139</v>
      </c>
      <c r="C98" s="90">
        <f>-E53*Exchange_Rate</f>
        <v>-526</v>
      </c>
      <c r="D98" s="208"/>
      <c r="E98" s="208"/>
      <c r="F98" s="208"/>
      <c r="H98" s="121">
        <f>C98*Data!$C$4/Common_Shares</f>
        <v>-6.4367073931517929E-2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77921.7</v>
      </c>
      <c r="D99" s="209"/>
      <c r="E99" s="143">
        <f>IF(H99&gt;0,H99*(1-C94),H99*(1+C94))</f>
        <v>8.1050438232968176</v>
      </c>
      <c r="F99" s="209"/>
      <c r="H99" s="143">
        <f>C99*Data!$C$4/Common_Shares</f>
        <v>9.5353456744668446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95294.328602060457</v>
      </c>
      <c r="D100" s="108">
        <f>MIN(F100*(1-C94),E100)</f>
        <v>9.1305957206607005</v>
      </c>
      <c r="E100" s="108">
        <f>MAX(E97+H98+E99,0)</f>
        <v>9.822505407983332</v>
      </c>
      <c r="F100" s="108">
        <f>(E100+H100)/2</f>
        <v>10.741877318424354</v>
      </c>
      <c r="H100" s="108">
        <f>MAX(C100*Data!$C$4/Common_Shares,0)</f>
        <v>11.661249228865378</v>
      </c>
      <c r="I100" s="108">
        <f>MAX(I97+H98+H99,0)</f>
        <v>12.460570636799225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55685.537965445168</v>
      </c>
      <c r="D103" s="108">
        <f>MIN(F103*(1-C94),E103)</f>
        <v>5.7921442362498743</v>
      </c>
      <c r="E103" s="121">
        <f>PV(C94,D93,0,-F94)</f>
        <v>6.8142873367645578</v>
      </c>
      <c r="F103" s="108">
        <f>(E103+H103)/2</f>
        <v>6.8142873367645578</v>
      </c>
      <c r="H103" s="121">
        <f>PV(C94,D93,0,-I94)</f>
        <v>6.8142873367645578</v>
      </c>
      <c r="I103" s="108">
        <f>PV(C93,D93,0,-I94)</f>
        <v>9.3011059415692472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67976.936415097822</v>
      </c>
      <c r="D106" s="108">
        <f>(D100+D103)/2</f>
        <v>7.4613699784552878</v>
      </c>
      <c r="E106" s="121">
        <f>(E100+E103)/2</f>
        <v>8.3183963723739449</v>
      </c>
      <c r="F106" s="108">
        <f>(F100+F103)/2</f>
        <v>8.7780823275944559</v>
      </c>
      <c r="H106" s="121">
        <f>(H100+H103)/2</f>
        <v>9.2377682828149688</v>
      </c>
      <c r="I106" s="121">
        <f>(I100+I103)/2</f>
        <v>10.880838289184236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