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204F19-A527-4E82-9EBA-B4CA1631BC9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B47" i="4"/>
  <c r="C49" i="3"/>
  <c r="G56" i="2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3" i="4"/>
  <c r="E95" i="4"/>
  <c r="F96" i="4"/>
  <c r="E92" i="4"/>
  <c r="F97" i="4"/>
  <c r="I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<sst xmlns="http://schemas.openxmlformats.org/spreadsheetml/2006/main" count="391" uniqueCount="275">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</sst>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2926209589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6983846860.7700005</v>
      </c>
      <c r="D25" s="147">
        <v>5210105771.0900002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3398384261.9699998</v>
      </c>
      <c r="D26" s="148">
        <v>3162230075.25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1191142720.1700001</v>
      </c>
      <c r="D27" s="148">
        <v>1028568099.8399999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863038653</v>
      </c>
      <c r="D28" s="148">
        <v>701713632.36000001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15194992.810000001</v>
      </c>
      <c r="D29" s="148">
        <v>12415189.01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48923904</v>
      </c>
      <c r="D30" s="148">
        <v>52800637.210000001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0.16</f>
        <v>0.16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1.6785330606896503E-2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6983846860.7700005</v>
      </c>
      <c r="D91" s="204"/>
      <c r="E91" s="246">
        <f>C91</f>
        <v>6983846860.7700005</v>
      </c>
      <c r="F91" s="246">
        <f>C91</f>
        <v>6983846860.7700005</v>
      </c>
    </row>
    <row r="92" spans="2:8" ht="13.9" x14ac:dyDescent="0.4">
      <c r="B92" s="103" t="s">
        <v>101</v>
      </c>
      <c r="C92" s="77">
        <f>C26</f>
        <v>3398384261.9699998</v>
      </c>
      <c r="D92" s="156">
        <f>C92/C91</f>
        <v>0.48660635459513968</v>
      </c>
      <c r="E92" s="247">
        <f>E91*D92</f>
        <v>3398384261.9699998</v>
      </c>
      <c r="F92" s="247">
        <f>F91*D92</f>
        <v>3398384261.9699998</v>
      </c>
    </row>
    <row r="93" spans="2:8" ht="13.9" x14ac:dyDescent="0.4">
      <c r="B93" s="103" t="s">
        <v>229</v>
      </c>
      <c r="C93" s="77">
        <f>C27+C28</f>
        <v>2054181373.1700001</v>
      </c>
      <c r="D93" s="156">
        <f>C93/C91</f>
        <v>0.2941332211490556</v>
      </c>
      <c r="E93" s="247">
        <f>E91*D93</f>
        <v>2054181373.1700003</v>
      </c>
      <c r="F93" s="247">
        <f>F91*D93</f>
        <v>2054181373.1700003</v>
      </c>
    </row>
    <row r="94" spans="2:8" ht="13.9" x14ac:dyDescent="0.4">
      <c r="B94" s="103" t="s">
        <v>236</v>
      </c>
      <c r="C94" s="77">
        <f>C29</f>
        <v>15194992.810000001</v>
      </c>
      <c r="D94" s="156">
        <f>C94/C91</f>
        <v>2.1757339633768379E-3</v>
      </c>
      <c r="E94" s="248"/>
      <c r="F94" s="247">
        <f>F91*D94</f>
        <v>15194992.810000001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65231872</v>
      </c>
      <c r="D97" s="156">
        <f>C97/C91</f>
        <v>9.3403926661713623E-3</v>
      </c>
      <c r="E97" s="248"/>
      <c r="F97" s="247">
        <f>F91*D97</f>
        <v>65231872</v>
      </c>
    </row>
    <row r="98" spans="2:7" ht="13.9" x14ac:dyDescent="0.4">
      <c r="B98" s="85" t="s">
        <v>192</v>
      </c>
      <c r="C98" s="232">
        <f>C44</f>
        <v>0.16</v>
      </c>
      <c r="D98" s="261"/>
      <c r="E98" s="249">
        <f>F98</f>
        <v>0.16</v>
      </c>
      <c r="F98" s="249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0696.HK</v>
      </c>
      <c r="D3" s="289"/>
      <c r="E3" s="86"/>
      <c r="F3" s="3" t="s">
        <v>1</v>
      </c>
      <c r="G3" s="130">
        <v>10.18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中國民航信息網絡</v>
      </c>
      <c r="D4" s="291"/>
      <c r="E4" s="86"/>
      <c r="F4" s="3" t="s">
        <v>2</v>
      </c>
      <c r="G4" s="294">
        <f>Inputs!C10</f>
        <v>2926209589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45603</v>
      </c>
      <c r="D5" s="293"/>
      <c r="E5" s="34"/>
      <c r="F5" s="35" t="s">
        <v>95</v>
      </c>
      <c r="G5" s="286">
        <f>G3*G4/1000000</f>
        <v>29788.813616020001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246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260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253</v>
      </c>
      <c r="C23" s="277">
        <f>Data!C13</f>
        <v>0.2099200315896334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254</v>
      </c>
      <c r="C24" s="168">
        <f>Fin_Analysis!I81</f>
        <v>2.1757339633768379E-3</v>
      </c>
      <c r="F24" s="138" t="s">
        <v>238</v>
      </c>
      <c r="G24" s="263">
        <f>G3/(Fin_Analysis!H86*G7)</f>
        <v>25.633648770518409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0.43026926927421749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1.6785330606896503E-2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1.1845894993697601</v>
      </c>
      <c r="D29" s="127">
        <f>G29*(1+G20)</f>
        <v>2.1315083961574786</v>
      </c>
      <c r="E29" s="86"/>
      <c r="F29" s="129">
        <f>IF(Fin_Analysis!C108="Profit",Fin_Analysis!F100,IF(Fin_Analysis!C108="Dividend",Fin_Analysis!F103,Fin_Analysis!F106))</f>
        <v>1.3936347051408942</v>
      </c>
      <c r="G29" s="285">
        <f>IF(Fin_Analysis!C108="Profit",Fin_Analysis!I100,IF(Fin_Analysis!C108="Dividend",Fin_Analysis!I103,Fin_Analysis!I106))</f>
        <v>1.8534855618760684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1466049353.6300006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6983846860.7700005</v>
      </c>
      <c r="D6" s="197">
        <f>IF(Inputs!D25="","",Inputs!D25)</f>
        <v>5210105771.0900002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0.34044243391798124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3398384261.9699998</v>
      </c>
      <c r="D8" s="196">
        <f>IF(Inputs!D26="","",Inputs!D26)</f>
        <v>3162230075.25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3585462598.8000007</v>
      </c>
      <c r="D9" s="149">
        <f t="shared" si="2"/>
        <v>2047875695.8400002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1191142720.1700001</v>
      </c>
      <c r="D10" s="196">
        <f>IF(Inputs!D27="","",Inputs!D27)</f>
        <v>1028568099.8399999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863038653</v>
      </c>
      <c r="D11" s="196">
        <f>IF(Inputs!D28="","",Inputs!D28)</f>
        <v>701713632.36000001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65231872</v>
      </c>
      <c r="D12" s="196">
        <f>IF(Inputs!D30="","",MAX(Inputs!D30,0)/(1-Fin_Analysis!$I$84))</f>
        <v>70400849.61333333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0.2099200315896334</v>
      </c>
      <c r="D13" s="224">
        <f t="shared" si="3"/>
        <v>4.7444932000862604E-2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1466049353.6300006</v>
      </c>
      <c r="D14" s="225">
        <f t="shared" ref="D14:M14" si="4">IF(D6="","",D9-D10-MAX(D11,0)-MAX(D12,0))</f>
        <v>247193114.02666688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4.9307855698271803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15194992.810000001</v>
      </c>
      <c r="D17" s="196">
        <f>IF(Inputs!D29="","",Inputs!D29)</f>
        <v>12415189.01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1450854360.8200006</v>
      </c>
      <c r="D22" s="158">
        <f t="shared" ref="D22:M22" si="8">IF(D6="","",D14-MAX(D16,0)-MAX(D17,0)-ABS(MAX(D21,0)-MAX(D19,0)))</f>
        <v>234777925.01666689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0.15580822321969243</v>
      </c>
      <c r="D23" s="151">
        <f t="shared" si="9"/>
        <v>3.3796519974615018E-2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5.1796881487772088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0.48660635459513968</v>
      </c>
      <c r="D40" s="154">
        <f t="shared" si="34"/>
        <v>0.60694162732677759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0.20774429762625657</v>
      </c>
      <c r="D46" s="151">
        <f t="shared" si="40"/>
        <v>4.5062026632820024E-2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6983846860.7700005</v>
      </c>
      <c r="D74" s="204"/>
      <c r="E74" s="233">
        <f>Inputs!E91</f>
        <v>6983846860.7700005</v>
      </c>
      <c r="F74" s="204"/>
      <c r="H74" s="233">
        <f>Inputs!F91</f>
        <v>6983846860.7700005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3398384261.9699998</v>
      </c>
      <c r="D75" s="156">
        <f>C75/$C$74</f>
        <v>0.48660635459513968</v>
      </c>
      <c r="E75" s="233">
        <f>Inputs!E92</f>
        <v>3398384261.9699998</v>
      </c>
      <c r="F75" s="157">
        <f>E75/E74</f>
        <v>0.48660635459513968</v>
      </c>
      <c r="H75" s="233">
        <f>Inputs!F92</f>
        <v>3398384261.9699998</v>
      </c>
      <c r="I75" s="157">
        <f>H75/$H$74</f>
        <v>0.48660635459513968</v>
      </c>
      <c r="K75" s="24"/>
    </row>
    <row r="76" spans="1:11" ht="15" customHeight="1" x14ac:dyDescent="0.4">
      <c r="B76" s="35" t="s">
        <v>91</v>
      </c>
      <c r="C76" s="158">
        <f>C74-C75</f>
        <v>3585462598.8000007</v>
      </c>
      <c r="D76" s="205"/>
      <c r="E76" s="159">
        <f>E74-E75</f>
        <v>3585462598.8000007</v>
      </c>
      <c r="F76" s="205"/>
      <c r="H76" s="159">
        <f>H74-H75</f>
        <v>3585462598.8000007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2054181373.1700001</v>
      </c>
      <c r="D77" s="156">
        <f>C77/$C$74</f>
        <v>0.2941332211490556</v>
      </c>
      <c r="E77" s="233">
        <f>Inputs!E93</f>
        <v>2054181373.1700003</v>
      </c>
      <c r="F77" s="157">
        <f>E77/E74</f>
        <v>0.2941332211490556</v>
      </c>
      <c r="H77" s="233">
        <f>Inputs!F93</f>
        <v>2054181373.1700003</v>
      </c>
      <c r="I77" s="157">
        <f>H77/$H$74</f>
        <v>0.2941332211490556</v>
      </c>
      <c r="K77" s="24"/>
    </row>
    <row r="78" spans="1:11" ht="15" customHeight="1" x14ac:dyDescent="0.4">
      <c r="B78" s="73" t="s">
        <v>160</v>
      </c>
      <c r="C78" s="77">
        <f>MAX(Data!C12,0)</f>
        <v>65231872</v>
      </c>
      <c r="D78" s="156">
        <f>C78/$C$74</f>
        <v>9.3403926661713623E-3</v>
      </c>
      <c r="E78" s="177">
        <f>E74*F78</f>
        <v>65231872</v>
      </c>
      <c r="F78" s="157">
        <f>I78</f>
        <v>9.3403926661713623E-3</v>
      </c>
      <c r="H78" s="233">
        <f>Inputs!F97</f>
        <v>65231872</v>
      </c>
      <c r="I78" s="157">
        <f>H78/$H$74</f>
        <v>9.3403926661713623E-3</v>
      </c>
      <c r="K78" s="24"/>
    </row>
    <row r="79" spans="1:11" ht="15" customHeight="1" x14ac:dyDescent="0.4">
      <c r="B79" s="251" t="s">
        <v>216</v>
      </c>
      <c r="C79" s="252">
        <f>C76-C77-C78</f>
        <v>1466049353.6300006</v>
      </c>
      <c r="D79" s="253">
        <f>C79/C74</f>
        <v>0.2099200315896334</v>
      </c>
      <c r="E79" s="254">
        <f>E76-E77-E78</f>
        <v>1466049353.6300004</v>
      </c>
      <c r="F79" s="253">
        <f>E79/E74</f>
        <v>0.20992003158963338</v>
      </c>
      <c r="G79" s="255"/>
      <c r="H79" s="254">
        <f>H76-H77-H78</f>
        <v>1466049353.6300004</v>
      </c>
      <c r="I79" s="253">
        <f>H79/H74</f>
        <v>0.20992003158963338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15194992.810000001</v>
      </c>
      <c r="D81" s="156">
        <f>C81/$C$74</f>
        <v>2.1757339633768379E-3</v>
      </c>
      <c r="E81" s="177">
        <f>E74*F81</f>
        <v>15194992.810000001</v>
      </c>
      <c r="F81" s="157">
        <f>I81</f>
        <v>2.1757339633768379E-3</v>
      </c>
      <c r="H81" s="233">
        <f>Inputs!F94</f>
        <v>15194992.810000001</v>
      </c>
      <c r="I81" s="157">
        <f>H81/$H$74</f>
        <v>2.1757339633768379E-3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1450854360.8200006</v>
      </c>
      <c r="D83" s="161">
        <f>C83/$C$74</f>
        <v>0.20774429762625657</v>
      </c>
      <c r="E83" s="162">
        <f>E79-E81-E82-E80</f>
        <v>1450854360.8200004</v>
      </c>
      <c r="F83" s="161">
        <f>E83/E74</f>
        <v>0.20774429762625654</v>
      </c>
      <c r="H83" s="162">
        <f>H79-H81-H82-H80</f>
        <v>1450854360.8200004</v>
      </c>
      <c r="I83" s="161">
        <f>H83/$H$74</f>
        <v>0.20774429762625654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1088140770.6150005</v>
      </c>
      <c r="D85" s="253">
        <f>C85/$C$74</f>
        <v>0.15580822321969243</v>
      </c>
      <c r="E85" s="259">
        <f>E83*(1-F84)</f>
        <v>1088140770.6150002</v>
      </c>
      <c r="F85" s="253">
        <f>E85/E74</f>
        <v>0.1558082232196924</v>
      </c>
      <c r="G85" s="255"/>
      <c r="H85" s="259">
        <f>H83*(1-I84)</f>
        <v>1088140770.6150002</v>
      </c>
      <c r="I85" s="253">
        <f>H85/$H$74</f>
        <v>0.1558082232196924</v>
      </c>
      <c r="K85" s="24"/>
    </row>
    <row r="86" spans="1:11" ht="15" customHeight="1" x14ac:dyDescent="0.4">
      <c r="B86" s="86" t="s">
        <v>151</v>
      </c>
      <c r="C86" s="164">
        <f>C85*Data!C4/Common_Shares</f>
        <v>0.37186016159111168</v>
      </c>
      <c r="D86" s="204"/>
      <c r="E86" s="165">
        <f>E85*Data!C4/Common_Shares</f>
        <v>0.37186016159111157</v>
      </c>
      <c r="F86" s="204"/>
      <c r="H86" s="165">
        <f>H85*Data!C4/Common_Shares</f>
        <v>0.37186016159111157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3.9011223449004782E-2</v>
      </c>
      <c r="D87" s="204"/>
      <c r="E87" s="257">
        <f>E86*Exchange_Rate/Dashboard!G3</f>
        <v>3.9011223449004769E-2</v>
      </c>
      <c r="F87" s="204"/>
      <c r="H87" s="257">
        <f>H86*Exchange_Rate/Dashboard!G3</f>
        <v>3.9011223449004769E-2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0.16</v>
      </c>
      <c r="D88" s="163">
        <f>C88/C86</f>
        <v>0.43026926927421733</v>
      </c>
      <c r="E88" s="167">
        <f>Inputs!E98</f>
        <v>0.16</v>
      </c>
      <c r="F88" s="163">
        <f>E88/E86</f>
        <v>0.43026926927421749</v>
      </c>
      <c r="H88" s="167">
        <f>Inputs!F98</f>
        <v>0.16</v>
      </c>
      <c r="I88" s="163">
        <f>H88/H86</f>
        <v>0.43026926927421749</v>
      </c>
      <c r="K88" s="24"/>
    </row>
    <row r="89" spans="1:11" ht="15" customHeight="1" x14ac:dyDescent="0.4">
      <c r="B89" s="86" t="s">
        <v>205</v>
      </c>
      <c r="C89" s="256">
        <f>C88*Exchange_Rate/Dashboard!G3</f>
        <v>1.6785330606896503E-2</v>
      </c>
      <c r="D89" s="204"/>
      <c r="E89" s="256">
        <f>E88*Exchange_Rate/Dashboard!G3</f>
        <v>1.6785330606896503E-2</v>
      </c>
      <c r="F89" s="204"/>
      <c r="H89" s="256">
        <f>H88*Exchange_Rate/Dashboard!G3</f>
        <v>1.6785330606896503E-2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7.2585965889634876</v>
      </c>
      <c r="H93" s="86" t="s">
        <v>194</v>
      </c>
      <c r="I93" s="142">
        <f>FV(H87,D93,0,-(H86/(C93-D94)))*Exchange_Rate</f>
        <v>7.2585965889634876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2.8030971809345799</v>
      </c>
      <c r="H94" s="86" t="s">
        <v>195</v>
      </c>
      <c r="I94" s="142">
        <f>FV(H89,D93,0,-(H88/(C93-D94)))*Exchange_Rate</f>
        <v>2.8030971809345799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10560120834.483883</v>
      </c>
      <c r="D97" s="208"/>
      <c r="E97" s="121">
        <f>PV(C94,D93,0,-F93)</f>
        <v>3.6088053549481698</v>
      </c>
      <c r="F97" s="208"/>
      <c r="H97" s="121">
        <f>PV(C94,D93,0,-I93)</f>
        <v>3.6088053549481698</v>
      </c>
      <c r="I97" s="121">
        <f>PV(C93,D93,0,-I93)</f>
        <v>4.7995852832476924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10560120834.483883</v>
      </c>
      <c r="D100" s="108">
        <f>MIN(F100*(1-C94),E100)</f>
        <v>3.0674845517059444</v>
      </c>
      <c r="E100" s="108">
        <f>MAX(E97+H98+E99,0)</f>
        <v>3.6088053549481698</v>
      </c>
      <c r="F100" s="108">
        <f>(E100+H100)/2</f>
        <v>3.6088053549481698</v>
      </c>
      <c r="H100" s="108">
        <f>MAX(C100*Data!$C$4/Common_Shares,0)</f>
        <v>3.6088053549481698</v>
      </c>
      <c r="I100" s="108">
        <f>MAX(I97+H98+H99,0)</f>
        <v>4.7995852832476924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4078067237.7464719</v>
      </c>
      <c r="D103" s="108">
        <f>MIN(F103*(1-C94),E103)</f>
        <v>1.1845894993697601</v>
      </c>
      <c r="E103" s="121">
        <f>PV(C94,D93,0,-F94)</f>
        <v>1.3936347051408942</v>
      </c>
      <c r="F103" s="108">
        <f>(E103+H103)/2</f>
        <v>1.3936347051408942</v>
      </c>
      <c r="H103" s="121">
        <f>PV(C94,D93,0,-I94)</f>
        <v>1.3936347051408942</v>
      </c>
      <c r="I103" s="108">
        <f>PV(C93,D93,0,-I94)</f>
        <v>1.8534855618760684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7319094036.1151781</v>
      </c>
      <c r="D106" s="108">
        <f>(D100+D103)/2</f>
        <v>2.126037025537852</v>
      </c>
      <c r="E106" s="121">
        <f>(E100+E103)/2</f>
        <v>2.5012200300445322</v>
      </c>
      <c r="F106" s="108">
        <f>(F100+F103)/2</f>
        <v>2.5012200300445322</v>
      </c>
      <c r="H106" s="121">
        <f>(H100+H103)/2</f>
        <v>2.5012200300445322</v>
      </c>
      <c r="I106" s="121">
        <f>(I100+I103)/2</f>
        <v>3.3265354225618804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