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0A2481-3DFF-4017-BC33-322C6562E9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37" i="4"/>
  <c r="C37" i="4"/>
  <c r="B47" i="4" s="1"/>
  <c r="C49" i="3"/>
  <c r="F56" i="2"/>
  <c r="G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D27" i="2"/>
  <c r="M56" i="2"/>
  <c r="E56" i="2"/>
  <c r="L56" i="2"/>
  <c r="D56" i="2"/>
  <c r="K56" i="2"/>
  <c r="I56" i="2"/>
  <c r="I3" i="3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<sst xmlns="http://schemas.openxmlformats.org/spreadsheetml/2006/main" count="392" uniqueCount="275">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</sst>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6779458129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269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270</v>
      </c>
      <c r="D19" s="24"/>
    </row>
    <row r="20" spans="2:13" ht="13.9" x14ac:dyDescent="0.4">
      <c r="B20" s="236" t="s">
        <v>213</v>
      </c>
      <c r="C20" s="237" t="s">
        <v>270</v>
      </c>
      <c r="D20" s="24"/>
    </row>
    <row r="21" spans="2:13" ht="13.9" x14ac:dyDescent="0.4">
      <c r="B21" s="219" t="s">
        <v>216</v>
      </c>
      <c r="C21" s="237" t="s">
        <v>269</v>
      </c>
      <c r="D21" s="24"/>
    </row>
    <row r="22" spans="2:13" ht="78.75" x14ac:dyDescent="0.4">
      <c r="B22" s="221" t="s">
        <v>215</v>
      </c>
      <c r="C22" s="238" t="s">
        <v>271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4823223</v>
      </c>
      <c r="D25" s="147">
        <v>3684261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3372942</v>
      </c>
      <c r="D26" s="148">
        <v>2506999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1070762</v>
      </c>
      <c r="D27" s="148">
        <v>881682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10228</v>
      </c>
      <c r="D29" s="148">
        <v>6896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0</v>
      </c>
      <c r="D30" s="148">
        <v>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525545+229394</f>
        <v>754939</v>
      </c>
      <c r="D37" s="148">
        <f>433472+103298</f>
        <v>536770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>
        <v>6831</v>
      </c>
      <c r="D38" s="148" t="s">
        <v>272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5186911</v>
      </c>
      <c r="D41" s="148">
        <v>4845059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0</v>
      </c>
      <c r="D42" s="148">
        <v>0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0.0065+0.0056</f>
        <v>1.21E-2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7.423312883435583E-2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4823223</v>
      </c>
      <c r="D91" s="204"/>
      <c r="E91" s="246">
        <f>C91</f>
        <v>4823223</v>
      </c>
      <c r="F91" s="246">
        <f>C91</f>
        <v>4823223</v>
      </c>
    </row>
    <row r="92" spans="2:8" ht="13.9" x14ac:dyDescent="0.4">
      <c r="B92" s="103" t="s">
        <v>102</v>
      </c>
      <c r="C92" s="77">
        <f>C26</f>
        <v>3372942</v>
      </c>
      <c r="D92" s="156">
        <f>C92/C91</f>
        <v>0.69931288683936033</v>
      </c>
      <c r="E92" s="247">
        <f>E91*D92</f>
        <v>3372942</v>
      </c>
      <c r="F92" s="247">
        <f>F91*D92</f>
        <v>3372942</v>
      </c>
    </row>
    <row r="93" spans="2:8" ht="13.9" x14ac:dyDescent="0.4">
      <c r="B93" s="103" t="s">
        <v>231</v>
      </c>
      <c r="C93" s="77">
        <f>C27+C28</f>
        <v>1070762</v>
      </c>
      <c r="D93" s="156">
        <f>C93/C91</f>
        <v>0.22200134640260258</v>
      </c>
      <c r="E93" s="247">
        <f>E91*D93</f>
        <v>1070762</v>
      </c>
      <c r="F93" s="247">
        <f>F91*D93</f>
        <v>1070762</v>
      </c>
    </row>
    <row r="94" spans="2:8" ht="13.9" x14ac:dyDescent="0.4">
      <c r="B94" s="103" t="s">
        <v>238</v>
      </c>
      <c r="C94" s="77">
        <f>C29</f>
        <v>10228</v>
      </c>
      <c r="D94" s="156">
        <f>C94/C91</f>
        <v>2.1205737325435711E-3</v>
      </c>
      <c r="E94" s="248"/>
      <c r="F94" s="247">
        <f>F91*D94</f>
        <v>10228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1.21E-2</v>
      </c>
      <c r="D98" s="261"/>
      <c r="E98" s="249">
        <f>F98</f>
        <v>1.21E-2</v>
      </c>
      <c r="F98" s="249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0887.HK</v>
      </c>
      <c r="D3" s="289"/>
      <c r="E3" s="86"/>
      <c r="F3" s="3" t="s">
        <v>1</v>
      </c>
      <c r="G3" s="130">
        <v>0.16300000000000001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英皇鐘錶珠寶</v>
      </c>
      <c r="D4" s="291"/>
      <c r="E4" s="86"/>
      <c r="F4" s="3" t="s">
        <v>3</v>
      </c>
      <c r="G4" s="294">
        <f>Inputs!C10</f>
        <v>6779458129</v>
      </c>
      <c r="H4" s="294"/>
      <c r="I4" s="39"/>
    </row>
    <row r="5" spans="1:10" ht="15.75" customHeight="1" x14ac:dyDescent="0.4">
      <c r="B5" s="3" t="s">
        <v>155</v>
      </c>
      <c r="C5" s="292">
        <f>Inputs!C6</f>
        <v>45593</v>
      </c>
      <c r="D5" s="293"/>
      <c r="E5" s="34"/>
      <c r="F5" s="35" t="s">
        <v>96</v>
      </c>
      <c r="G5" s="286">
        <f>G3*G4/1000000</f>
        <v>1105.0516750269999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7.3168596877794909E-2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0.87294546311334009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0.81173759014448366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7.868576675803711E-2</v>
      </c>
      <c r="F23" s="138" t="s">
        <v>175</v>
      </c>
      <c r="G23" s="174">
        <f>G3/(Data!C34*Data!C4/Common_Shares*Exchange_Rate)</f>
        <v>0.21304619937126357</v>
      </c>
    </row>
    <row r="24" spans="1:8" ht="15.75" customHeight="1" x14ac:dyDescent="0.4">
      <c r="B24" s="135" t="s">
        <v>255</v>
      </c>
      <c r="C24" s="168">
        <f>Fin_Analysis!I81</f>
        <v>2.1205737325435711E-3</v>
      </c>
      <c r="F24" s="138" t="s">
        <v>240</v>
      </c>
      <c r="G24" s="263">
        <f>G3/(Fin_Analysis!H86*G7)</f>
        <v>3.9898135437076276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0.29617634281510608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7.423312883435583E-2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0.12065798021269351</v>
      </c>
      <c r="D29" s="127">
        <f>G29*(1+G20)</f>
        <v>0.22281740621634208</v>
      </c>
      <c r="E29" s="86"/>
      <c r="F29" s="129">
        <f>IF(Fin_Analysis!C108="Profit",Fin_Analysis!F100,IF(Fin_Analysis!C108="Dividend",Fin_Analysis!F103,Fin_Analysis!F106))</f>
        <v>0.14195056495611003</v>
      </c>
      <c r="G29" s="285">
        <f>IF(Fin_Analysis!C108="Profit",Fin_Analysis!I100,IF(Fin_Analysis!C108="Dividend",Fin_Analysis!I103,Fin_Analysis!I106))</f>
        <v>0.19375426627508008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379519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4823223</v>
      </c>
      <c r="D6" s="197">
        <f>IF(Inputs!D25="","",Inputs!D25)</f>
        <v>3684261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0.30914259331790017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3372942</v>
      </c>
      <c r="D8" s="196">
        <f>IF(Inputs!D26="","",Inputs!D26)</f>
        <v>2506999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1450281</v>
      </c>
      <c r="D9" s="149">
        <f t="shared" si="2"/>
        <v>1177262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1070762</v>
      </c>
      <c r="D10" s="196">
        <f>IF(Inputs!D27="","",Inputs!D27)</f>
        <v>881682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7.868576675803711E-2</v>
      </c>
      <c r="D13" s="224">
        <f t="shared" si="3"/>
        <v>8.0227758022572232E-2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379519</v>
      </c>
      <c r="D14" s="225">
        <f t="shared" ref="D14:M14" si="4">IF(D6="","",D9-D10-MAX(D11,0)-MAX(D12,0))</f>
        <v>295580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0.28398064821706476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10228</v>
      </c>
      <c r="D17" s="196">
        <f>IF(Inputs!D29="","",Inputs!D29)</f>
        <v>6896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369291</v>
      </c>
      <c r="D22" s="158">
        <f t="shared" ref="D22:M22" si="8">IF(D6="","",D14-MAX(D16,0)-MAX(D17,0)-ABS(MAX(D21,0)-MAX(D19,0)))</f>
        <v>288684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5.7423894769120153E-2</v>
      </c>
      <c r="D23" s="151">
        <f t="shared" si="9"/>
        <v>5.8767009177688553E-2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0.27922226379016502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5941850</v>
      </c>
      <c r="D27" s="65">
        <f>IF(D34="","",D34+D30)</f>
        <v>5381829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754939</v>
      </c>
      <c r="D30" s="196">
        <f>IF(Inputs!D37="","",Inputs!D37)</f>
        <v>536770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5186911</v>
      </c>
      <c r="D34" s="196">
        <f>IF(Inputs!D41="","",Inputs!D41)</f>
        <v>4845059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>
        <f>IF(Inputs!D42="","",Inputs!D42)</f>
        <v>0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5941850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6.3872194686839953E-2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0.69931288683936033</v>
      </c>
      <c r="D40" s="154">
        <f t="shared" si="34"/>
        <v>0.6804618348157202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0.22200134640260258</v>
      </c>
      <c r="D41" s="151">
        <f t="shared" si="35"/>
        <v>0.23931040716170759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2.1205737325435711E-3</v>
      </c>
      <c r="D43" s="151">
        <f t="shared" si="37"/>
        <v>1.8717457856541652E-3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7.6565193025493528E-2</v>
      </c>
      <c r="D46" s="151">
        <f t="shared" si="40"/>
        <v>7.8356012236918071E-2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0.81173759014448366</v>
      </c>
      <c r="D48" s="267">
        <f t="shared" si="41"/>
        <v>0.684574147562102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0.87294546311334009</v>
      </c>
      <c r="D53" s="154">
        <f t="shared" si="45"/>
        <v>0.90026253156687064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2.7696315371888294E-2</v>
      </c>
      <c r="D55" s="151">
        <f t="shared" si="47"/>
        <v>2.3887711130509484E-2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1.149641946531804E-3</v>
      </c>
      <c r="D56" s="151" t="e">
        <f>IF(D34="","",IF(Inputs!D38=0,0,Inputs!D38/D27))</f>
        <v>#VALUE!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>Error</v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7.3168596877794895E-2</v>
      </c>
      <c r="D58" s="269">
        <f t="shared" si="49"/>
        <v>6.1006481035628259E-2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7.1196710334918034E-2</v>
      </c>
      <c r="D59" s="269">
        <f t="shared" si="50"/>
        <v>5.9583175354520963E-2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5186911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5186911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-754939</v>
      </c>
      <c r="E6" s="56">
        <f>1-D6/D3</f>
        <v>1.1455469353532381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754939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754939</v>
      </c>
      <c r="J48" s="8"/>
    </row>
    <row r="49" spans="2:11" ht="15" customHeight="1" thickTop="1" x14ac:dyDescent="0.4">
      <c r="B49" s="3" t="s">
        <v>14</v>
      </c>
      <c r="C49" s="61">
        <f>Inputs!C41+Inputs!C37</f>
        <v>5941850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754939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5941850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754939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5186911</v>
      </c>
      <c r="D70" s="29">
        <f t="shared" si="2"/>
        <v>-0.14554693535323818</v>
      </c>
      <c r="E70" s="68">
        <f>E68-E69</f>
        <v>-754939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4823223</v>
      </c>
      <c r="D74" s="204"/>
      <c r="E74" s="233">
        <f>Inputs!E91</f>
        <v>4823223</v>
      </c>
      <c r="F74" s="204"/>
      <c r="H74" s="233">
        <f>Inputs!F91</f>
        <v>4823223</v>
      </c>
      <c r="I74" s="204"/>
      <c r="K74" s="24"/>
    </row>
    <row r="75" spans="1:11" ht="15" customHeight="1" x14ac:dyDescent="0.4">
      <c r="B75" s="103" t="s">
        <v>102</v>
      </c>
      <c r="C75" s="77">
        <f>Data!C8</f>
        <v>3372942</v>
      </c>
      <c r="D75" s="156">
        <f>C75/$C$74</f>
        <v>0.69931288683936033</v>
      </c>
      <c r="E75" s="233">
        <f>Inputs!E92</f>
        <v>3372942</v>
      </c>
      <c r="F75" s="157">
        <f>E75/E74</f>
        <v>0.69931288683936033</v>
      </c>
      <c r="H75" s="233">
        <f>Inputs!F92</f>
        <v>3372942</v>
      </c>
      <c r="I75" s="157">
        <f>H75/$H$74</f>
        <v>0.69931288683936033</v>
      </c>
      <c r="K75" s="24"/>
    </row>
    <row r="76" spans="1:11" ht="15" customHeight="1" x14ac:dyDescent="0.4">
      <c r="B76" s="35" t="s">
        <v>92</v>
      </c>
      <c r="C76" s="158">
        <f>C74-C75</f>
        <v>1450281</v>
      </c>
      <c r="D76" s="205"/>
      <c r="E76" s="159">
        <f>E74-E75</f>
        <v>1450281</v>
      </c>
      <c r="F76" s="205"/>
      <c r="H76" s="159">
        <f>H74-H75</f>
        <v>1450281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1070762</v>
      </c>
      <c r="D77" s="156">
        <f>C77/$C$74</f>
        <v>0.22200134640260258</v>
      </c>
      <c r="E77" s="233">
        <f>Inputs!E93</f>
        <v>1070762</v>
      </c>
      <c r="F77" s="157">
        <f>E77/E74</f>
        <v>0.22200134640260258</v>
      </c>
      <c r="H77" s="233">
        <f>Inputs!F93</f>
        <v>1070762</v>
      </c>
      <c r="I77" s="157">
        <f>H77/$H$74</f>
        <v>0.22200134640260258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379519</v>
      </c>
      <c r="D79" s="253">
        <f>C79/C74</f>
        <v>7.868576675803711E-2</v>
      </c>
      <c r="E79" s="254">
        <f>E76-E77-E78</f>
        <v>379519</v>
      </c>
      <c r="F79" s="253">
        <f>E79/E74</f>
        <v>7.868576675803711E-2</v>
      </c>
      <c r="G79" s="255"/>
      <c r="H79" s="254">
        <f>H76-H77-H78</f>
        <v>379519</v>
      </c>
      <c r="I79" s="253">
        <f>H79/H74</f>
        <v>7.868576675803711E-2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10228</v>
      </c>
      <c r="D81" s="156">
        <f>C81/$C$74</f>
        <v>2.1205737325435711E-3</v>
      </c>
      <c r="E81" s="177">
        <f>E74*F81</f>
        <v>10228</v>
      </c>
      <c r="F81" s="157">
        <f>I81</f>
        <v>2.1205737325435711E-3</v>
      </c>
      <c r="H81" s="233">
        <f>Inputs!F94</f>
        <v>10228</v>
      </c>
      <c r="I81" s="157">
        <f>H81/$H$74</f>
        <v>2.1205737325435711E-3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369291</v>
      </c>
      <c r="D83" s="161">
        <f>C83/$C$74</f>
        <v>7.6565193025493528E-2</v>
      </c>
      <c r="E83" s="162">
        <f>E79-E81-E82-E80</f>
        <v>369291</v>
      </c>
      <c r="F83" s="161">
        <f>E83/E74</f>
        <v>7.6565193025493528E-2</v>
      </c>
      <c r="H83" s="162">
        <f>H79-H81-H82-H80</f>
        <v>369291</v>
      </c>
      <c r="I83" s="161">
        <f>H83/$H$74</f>
        <v>7.6565193025493528E-2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276968.25</v>
      </c>
      <c r="D85" s="253">
        <f>C85/$C$74</f>
        <v>5.7423894769120153E-2</v>
      </c>
      <c r="E85" s="259">
        <f>E83*(1-F84)</f>
        <v>276968.25</v>
      </c>
      <c r="F85" s="253">
        <f>E85/E74</f>
        <v>5.7423894769120153E-2</v>
      </c>
      <c r="G85" s="255"/>
      <c r="H85" s="259">
        <f>H83*(1-I84)</f>
        <v>276968.25</v>
      </c>
      <c r="I85" s="253">
        <f>H85/$H$74</f>
        <v>5.7423894769120153E-2</v>
      </c>
      <c r="K85" s="24"/>
    </row>
    <row r="86" spans="1:11" ht="15" customHeight="1" x14ac:dyDescent="0.4">
      <c r="B86" s="86" t="s">
        <v>152</v>
      </c>
      <c r="C86" s="164">
        <f>C85*Data!C4/Common_Shares</f>
        <v>4.0854039471861746E-2</v>
      </c>
      <c r="D86" s="204"/>
      <c r="E86" s="165">
        <f>E85*Data!C4/Common_Shares</f>
        <v>4.0854039471861746E-2</v>
      </c>
      <c r="F86" s="204"/>
      <c r="H86" s="165">
        <f>H85*Data!C4/Common_Shares</f>
        <v>4.0854039471861746E-2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0.25063827896847696</v>
      </c>
      <c r="D87" s="204"/>
      <c r="E87" s="257">
        <f>E86*Exchange_Rate/Dashboard!G3</f>
        <v>0.25063827896847696</v>
      </c>
      <c r="F87" s="204"/>
      <c r="H87" s="257">
        <f>H86*Exchange_Rate/Dashboard!G3</f>
        <v>0.25063827896847696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1.21E-2</v>
      </c>
      <c r="D88" s="163">
        <f>C88/C86</f>
        <v>0.29617634281510608</v>
      </c>
      <c r="E88" s="167">
        <f>Inputs!E98</f>
        <v>1.21E-2</v>
      </c>
      <c r="F88" s="163">
        <f>E88/E86</f>
        <v>0.29617634281510608</v>
      </c>
      <c r="H88" s="167">
        <f>Inputs!F98</f>
        <v>1.21E-2</v>
      </c>
      <c r="I88" s="163">
        <f>H88/H86</f>
        <v>0.29617634281510608</v>
      </c>
      <c r="K88" s="24"/>
    </row>
    <row r="89" spans="1:11" ht="15" customHeight="1" x14ac:dyDescent="0.4">
      <c r="B89" s="86" t="s">
        <v>206</v>
      </c>
      <c r="C89" s="256">
        <f>C88*Exchange_Rate/Dashboard!G3</f>
        <v>7.423312883435583E-2</v>
      </c>
      <c r="D89" s="204"/>
      <c r="E89" s="256">
        <f>E88*Exchange_Rate/Dashboard!G3</f>
        <v>7.423312883435583E-2</v>
      </c>
      <c r="F89" s="204"/>
      <c r="H89" s="256">
        <f>H88*Exchange_Rate/Dashboard!G3</f>
        <v>7.423312883435583E-2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2.0617777033744722</v>
      </c>
      <c r="H93" s="86" t="s">
        <v>195</v>
      </c>
      <c r="I93" s="142">
        <f>FV(H87,D93,0,-(H86/(C93-D94)))*Exchange_Rate</f>
        <v>2.0617777033744722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0.28551328909415741</v>
      </c>
      <c r="H94" s="86" t="s">
        <v>196</v>
      </c>
      <c r="I94" s="142">
        <f>FV(H89,D93,0,-(H88/(C93-D94)))*Exchange_Rate</f>
        <v>0.28551328909415741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6949404.9581051953</v>
      </c>
      <c r="D97" s="208"/>
      <c r="E97" s="121">
        <f>PV(C94,D93,0,-F93)</f>
        <v>1.0250679074745259</v>
      </c>
      <c r="F97" s="208"/>
      <c r="H97" s="121">
        <f>PV(C94,D93,0,-I93)</f>
        <v>1.0250679074745259</v>
      </c>
      <c r="I97" s="121">
        <f>PV(C93,D93,0,-I93)</f>
        <v>1.3991580826484733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6949404.9581051953</v>
      </c>
      <c r="D100" s="108">
        <f>MIN(F100*(1-C94),E100)</f>
        <v>0.871307721353347</v>
      </c>
      <c r="E100" s="108">
        <f>MAX(E97+H98+E99,0)</f>
        <v>1.0250679074745259</v>
      </c>
      <c r="F100" s="108">
        <f>(E100+H100)/2</f>
        <v>1.0250679074745259</v>
      </c>
      <c r="H100" s="108">
        <f>MAX(C100*Data!$C$4/Common_Shares,0)</f>
        <v>1.0250679074745259</v>
      </c>
      <c r="I100" s="108">
        <f>MAX(I97+H98+H99,0)</f>
        <v>1.3991580826484733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962347.91150784271</v>
      </c>
      <c r="D103" s="108">
        <f>MIN(F103*(1-C94),E103)</f>
        <v>0.12065798021269351</v>
      </c>
      <c r="E103" s="121">
        <f>PV(C94,D93,0,-F94)</f>
        <v>0.14195056495611003</v>
      </c>
      <c r="F103" s="108">
        <f>(E103+H103)/2</f>
        <v>0.14195056495611003</v>
      </c>
      <c r="H103" s="121">
        <f>PV(C94,D93,0,-I94)</f>
        <v>0.14195056495611003</v>
      </c>
      <c r="I103" s="108">
        <f>PV(C93,D93,0,-I94)</f>
        <v>0.19375426627508008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3955876.4348065192</v>
      </c>
      <c r="D106" s="108">
        <f>(D100+D103)/2</f>
        <v>0.49598285078302023</v>
      </c>
      <c r="E106" s="121">
        <f>(E100+E103)/2</f>
        <v>0.58350923621531803</v>
      </c>
      <c r="F106" s="108">
        <f>(F100+F103)/2</f>
        <v>0.58350923621531803</v>
      </c>
      <c r="H106" s="121">
        <f>(H100+H103)/2</f>
        <v>0.58350923621531803</v>
      </c>
      <c r="I106" s="121">
        <f>(I100+I103)/2</f>
        <v>0.79645617446177663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