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DAA54C3-CB24-45E0-AEE9-D6D3657C912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H56" i="2"/>
  <c r="I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J27" i="2"/>
  <c r="G56" i="2"/>
  <c r="F56" i="2"/>
  <c r="M56" i="2"/>
  <c r="E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<sst xmlns="http://schemas.openxmlformats.org/spreadsheetml/2006/main" count="391" uniqueCount="274">
  <si>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</si>
  <si>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</si>
  <si>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</si>
  <si>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</si>
  <si>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</si>
  <si>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</si>
  <si>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</si>
  <si>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</si>
  <si>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</si>
  <si>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</si>
  <si>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</si>
  <si>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</si>
  <si>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</si>
  <si>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</si>
  <si>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</si>
  <si>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</si>
  <si>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</si>
  <si>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</si>
  <si>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</si>
  <si>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</si>
  <si>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</si>
  <si>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</si>
  <si>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</si>
  <si>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</si>
  <si>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</si>
  <si>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</si>
  <si>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</si>
  <si>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</si>
  <si>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</si>
  <si>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</si>
  <si>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</si>
  <si>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</si>
  <si>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</si>
  <si>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</si>
  <si>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</si>
  <si>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</si>
  <si>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</si>
  <si>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</si>
  <si>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</si>
  <si>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</si>
  <si>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</si>
  <si>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</si>
  <si>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</si>
  <si>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</si>
  <si>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</si>
  <si>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</si>
  <si>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</si>
  <si>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</si>
  <si>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</si>
  <si>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</si>
  <si>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</si>
  <si>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</si>
  <si>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</si>
  <si>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</si>
  <si>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</si>
  <si>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</si>
  <si>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</si>
  <si>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</si>
  <si>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</si>
  <si>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</si>
  <si>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</si>
  <si>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</si>
  <si>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</si>
  <si>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</si>
  <si>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</si>
  <si>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</si>
  <si>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</si>
  <si>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</si>
  <si>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</si>
  <si>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</si>
  <si>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</si>
  <si>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</si>
  <si>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</si>
  <si>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</si>
  <si>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</si>
  <si>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</si>
  <si>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</si>
  <si>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</si>
  <si>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</si>
  <si>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</si>
  <si>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</si>
  <si>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</si>
  <si>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</si>
  <si>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</si>
  <si>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</si>
  <si>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</si>
  <si>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</si>
  <si>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</si>
  <si>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</si>
  <si>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</si>
  <si>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</si>
  <si>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</si>
  <si>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</si>
  <si>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</si>
  <si>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</si>
  <si>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</si>
  <si>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</si>
  <si>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</si>
  <si>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</si>
  <si>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</si>
  <si>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</si>
  <si>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</si>
  <si>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</si>
  <si>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</si>
  <si>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</si>
  <si>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</si>
  <si>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</si>
  <si>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</si>
  <si>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</si>
  <si>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</si>
  <si>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</si>
  <si>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</si>
  <si>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</si>
  <si>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</si>
  <si>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</si>
  <si>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</si>
  <si>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</si>
  <si>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</si>
  <si>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</si>
  <si>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</si>
  <si>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</si>
  <si>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</si>
  <si>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</si>
  <si>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</si>
  <si>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</si>
  <si>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</si>
  <si>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</si>
  <si>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</si>
  <si>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</si>
  <si>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</si>
  <si>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</si>
  <si>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</si>
  <si>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</si>
  <si>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</si>
  <si>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</si>
  <si>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</si>
  <si>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</si>
  <si>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</si>
  <si>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</si>
  <si>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</si>
  <si>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</si>
  <si>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</si>
  <si>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</si>
  <si>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</si>
  <si>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</si>
  <si>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</si>
  <si>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</si>
  <si>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</si>
  <si>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</si>
  <si>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</si>
  <si>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</si>
  <si>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</si>
  <si>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</si>
  <si>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</si>
  <si>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</si>
  <si>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</si>
  <si>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</si>
  <si>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</si>
  <si>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</si>
  <si>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</si>
  <si>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</si>
  <si>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</si>
  <si>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</si>
  <si>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</si>
  <si>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</si>
  <si>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</si>
  <si>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</si>
  <si>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</si>
  <si>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</si>
  <si>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</si>
  <si>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</si>
  <si>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</si>
  <si>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</si>
  <si>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</si>
  <si>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</si>
  <si>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</si>
  <si>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</si>
  <si>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</si>
  <si>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</si>
  <si>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</si>
  <si>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</si>
  <si>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</si>
  <si>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</si>
  <si>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</si>
  <si>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</si>
  <si>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</si>
  <si>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</si>
  <si>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</si>
  <si>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</si>
  <si>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</si>
  <si>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</si>
  <si>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</si>
  <si>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</si>
  <si>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</si>
  <si>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</si>
  <si>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</si>
  <si>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</si>
  <si>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</si>
  <si>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</si>
  <si>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</si>
  <si>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</si>
  <si>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</si>
  <si>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</si>
  <si>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</si>
  <si>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</si>
  <si>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</si>
  <si>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</si>
  <si>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</si>
  <si>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</si>
  <si>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</si>
  <si>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</si>
  <si>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</si>
  <si>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</si>
  <si>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</si>
  <si>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</si>
  <si>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</si>
  <si>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</si>
  <si>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</si>
  <si>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</si>
  <si>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</si>
  <si>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</si>
  <si>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</si>
  <si>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</si>
  <si>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</si>
  <si>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</si>
  <si>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</si>
  <si>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</si>
  <si>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</si>
  <si>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</si>
  <si>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</si>
  <si>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</si>
  <si>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</si>
  <si>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</si>
  <si>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</si>
  <si>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</si>
  <si>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</si>
  <si>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</si>
  <si>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</si>
  <si>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</si>
  <si>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</si>
  <si>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</si>
  <si>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</si>
  <si>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</si>
  <si>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</si>
  <si>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</si>
  <si>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</si>
  <si>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</si>
  <si>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</si>
  <si>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</si>
  <si>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</si>
  <si>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</si>
  <si>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</si>
  <si>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</si>
  <si>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</si>
  <si>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</si>
  <si>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</si>
  <si>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</si>
  <si>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</si>
  <si>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</si>
  <si>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</si>
  <si>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</si>
  <si>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</si>
  <si>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</si>
  <si>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</si>
  <si>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</si>
  <si>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</si>
  <si>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</si>
  <si>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</si>
  <si>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2319.HK</t>
  </si>
  <si>
    <t>蒙牛乳業</t>
  </si>
  <si>
    <t xml:space="preserve">Superior Cycl. 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</si>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</sst>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270</v>
      </c>
      <c r="E8" s="262"/>
    </row>
    <row r="9" spans="1:5" ht="13.9" x14ac:dyDescent="0.4">
      <c r="B9" s="138" t="s">
        <v>201</v>
      </c>
      <c r="C9" s="189" t="s">
        <v>271</v>
      </c>
    </row>
    <row r="10" spans="1:5" ht="13.9" x14ac:dyDescent="0.4">
      <c r="B10" s="138" t="s">
        <v>202</v>
      </c>
      <c r="C10" s="190">
        <v>3922514513</v>
      </c>
    </row>
    <row r="11" spans="1:5" ht="13.9" x14ac:dyDescent="0.4">
      <c r="B11" s="138" t="s">
        <v>203</v>
      </c>
      <c r="C11" s="189" t="s">
        <v>272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98624041</v>
      </c>
      <c r="D25" s="147">
        <v>92593322</v>
      </c>
      <c r="E25" s="147">
        <v>88141475</v>
      </c>
      <c r="F25" s="147">
        <v>76034844</v>
      </c>
      <c r="G25" s="147">
        <v>0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61983946</v>
      </c>
      <c r="D26" s="148">
        <v>59903540</v>
      </c>
      <c r="E26" s="148">
        <v>55751561</v>
      </c>
      <c r="F26" s="148">
        <v>47405564</v>
      </c>
      <c r="G26" s="148">
        <v>0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29934742</v>
      </c>
      <c r="D27" s="148">
        <v>26789160</v>
      </c>
      <c r="E27" s="148">
        <v>27011976</v>
      </c>
      <c r="F27" s="148">
        <v>24673872</v>
      </c>
      <c r="G27" s="148">
        <v>0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1569281</v>
      </c>
      <c r="D29" s="148">
        <v>1125263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77778</v>
      </c>
      <c r="D30" s="148">
        <v>118168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0.48899999999999999</v>
      </c>
      <c r="D44" s="245">
        <v>0.40200000000000002</v>
      </c>
      <c r="E44" s="245">
        <v>0.38100000000000001</v>
      </c>
      <c r="F44" s="245">
        <v>0.26800000000000002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3.0048083813198689E-2</v>
      </c>
      <c r="D45" s="150">
        <f>IF(D44="","",D44*Exchange_Rate/Dashboard!$G$3)</f>
        <v>2.4702105711463956E-2</v>
      </c>
      <c r="E45" s="150">
        <f>IF(E44="","",E44*Exchange_Rate/Dashboard!$G$3)</f>
        <v>2.3411697204148672E-2</v>
      </c>
      <c r="F45" s="150">
        <f>IF(F44="","",F44*Exchange_Rate/Dashboard!$G$3)</f>
        <v>1.6468070474309305E-2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2">
        <f>C24</f>
        <v>45291</v>
      </c>
      <c r="D89" s="282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3" t="s">
        <v>96</v>
      </c>
      <c r="D90" s="283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98624041</v>
      </c>
      <c r="D91" s="204"/>
      <c r="E91" s="246">
        <f>C91</f>
        <v>98624041</v>
      </c>
      <c r="F91" s="246">
        <f>C91</f>
        <v>98624041</v>
      </c>
    </row>
    <row r="92" spans="2:8" ht="13.9" x14ac:dyDescent="0.4">
      <c r="B92" s="103" t="s">
        <v>101</v>
      </c>
      <c r="C92" s="77">
        <f>C26</f>
        <v>61983946</v>
      </c>
      <c r="D92" s="156">
        <f>C92/C91</f>
        <v>0.6284871859996084</v>
      </c>
      <c r="E92" s="247">
        <f>E91*D92</f>
        <v>61983946.000000007</v>
      </c>
      <c r="F92" s="247">
        <f>F91*D92</f>
        <v>61983946.000000007</v>
      </c>
    </row>
    <row r="93" spans="2:8" ht="13.9" x14ac:dyDescent="0.4">
      <c r="B93" s="103" t="s">
        <v>229</v>
      </c>
      <c r="C93" s="77">
        <f>C27+C28</f>
        <v>29934742</v>
      </c>
      <c r="D93" s="156">
        <f>C93/C91</f>
        <v>0.30352378280666881</v>
      </c>
      <c r="E93" s="247">
        <f>E91*D93</f>
        <v>29934742</v>
      </c>
      <c r="F93" s="247">
        <f>F91*D93</f>
        <v>29934742</v>
      </c>
    </row>
    <row r="94" spans="2:8" ht="13.9" x14ac:dyDescent="0.4">
      <c r="B94" s="103" t="s">
        <v>237</v>
      </c>
      <c r="C94" s="77">
        <f>C29</f>
        <v>1569281</v>
      </c>
      <c r="D94" s="156">
        <f>C94/C91</f>
        <v>1.5911749144409931E-2</v>
      </c>
      <c r="E94" s="248"/>
      <c r="F94" s="247">
        <f>F91*D94</f>
        <v>1569281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103704</v>
      </c>
      <c r="D97" s="156">
        <f>C97/C91</f>
        <v>1.0515083234117328E-3</v>
      </c>
      <c r="E97" s="248"/>
      <c r="F97" s="247">
        <f>F91*D97</f>
        <v>103703.99999999999</v>
      </c>
    </row>
    <row r="98" spans="2:7" ht="13.9" x14ac:dyDescent="0.4">
      <c r="B98" s="85" t="s">
        <v>192</v>
      </c>
      <c r="C98" s="232">
        <f>C44</f>
        <v>0.48899999999999999</v>
      </c>
      <c r="D98" s="261"/>
      <c r="E98" s="249">
        <f>F98</f>
        <v>0.48899999999999999</v>
      </c>
      <c r="F98" s="249">
        <f>C98</f>
        <v>0.48899999999999999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2319.HK : 蒙牛乳業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88" t="str">
        <f>Inputs!C4</f>
        <v>2319.HK</v>
      </c>
      <c r="D3" s="289"/>
      <c r="E3" s="86"/>
      <c r="F3" s="3" t="s">
        <v>1</v>
      </c>
      <c r="G3" s="130">
        <v>17.38</v>
      </c>
      <c r="H3" s="132" t="s">
        <v>273</v>
      </c>
    </row>
    <row r="4" spans="1:10" ht="15.75" customHeight="1" x14ac:dyDescent="0.4">
      <c r="B4" s="35" t="s">
        <v>180</v>
      </c>
      <c r="C4" s="290" t="str">
        <f>Inputs!C5</f>
        <v>蒙牛乳業</v>
      </c>
      <c r="D4" s="291"/>
      <c r="E4" s="86"/>
      <c r="F4" s="3" t="s">
        <v>2</v>
      </c>
      <c r="G4" s="294">
        <f>Inputs!C10</f>
        <v>3922514513</v>
      </c>
      <c r="H4" s="294"/>
      <c r="I4" s="39"/>
    </row>
    <row r="5" spans="1:10" ht="15.75" customHeight="1" x14ac:dyDescent="0.4">
      <c r="B5" s="3" t="s">
        <v>154</v>
      </c>
      <c r="C5" s="292">
        <f>Inputs!C6</f>
        <v>45637</v>
      </c>
      <c r="D5" s="293"/>
      <c r="E5" s="34"/>
      <c r="F5" s="35" t="s">
        <v>95</v>
      </c>
      <c r="G5" s="286">
        <f>G3*G4/1000000</f>
        <v>68173.302235939991</v>
      </c>
      <c r="H5" s="286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7" t="str">
        <f>Inputs!C11</f>
        <v>CNY</v>
      </c>
      <c r="H6" s="287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C0002</v>
      </c>
      <c r="E7" s="86"/>
      <c r="F7" s="35" t="s">
        <v>5</v>
      </c>
      <c r="G7" s="131">
        <v>1.0679666598637898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C23*C22*(1/C21)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248</v>
      </c>
      <c r="C21" s="273" t="e">
        <f>Data!C53</f>
        <v>#DIV/0!</v>
      </c>
      <c r="F21" s="86"/>
      <c r="G21" s="29"/>
    </row>
    <row r="22" spans="1:8" ht="15.75" customHeight="1" x14ac:dyDescent="0.4">
      <c r="B22" s="274" t="s">
        <v>262</v>
      </c>
      <c r="C22" s="275" t="e">
        <f>Data!C48</f>
        <v>#DIV/0!</v>
      </c>
      <c r="F22" s="140" t="s">
        <v>170</v>
      </c>
    </row>
    <row r="23" spans="1:8" ht="15.75" customHeight="1" thickBot="1" x14ac:dyDescent="0.45">
      <c r="B23" s="276" t="s">
        <v>255</v>
      </c>
      <c r="C23" s="277">
        <f>Data!C13</f>
        <v>6.69375228703111E-2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135" t="s">
        <v>256</v>
      </c>
      <c r="C24" s="168">
        <f>Fin_Analysis!I81</f>
        <v>1.5911749144409931E-2</v>
      </c>
      <c r="F24" s="138" t="s">
        <v>240</v>
      </c>
      <c r="G24" s="263">
        <f>G3/(Fin_Analysis!H86*G7)</f>
        <v>16.913090814212577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0.50820597032570036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3.0048083813198689E-2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4" t="s">
        <v>238</v>
      </c>
      <c r="H28" s="284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8.7359143400208712</v>
      </c>
      <c r="D29" s="127">
        <f>G29*(1+G20)</f>
        <v>15.719094904837336</v>
      </c>
      <c r="E29" s="86"/>
      <c r="F29" s="129">
        <f>IF(Fin_Analysis!C108="Profit",Fin_Analysis!F100,IF(Fin_Analysis!C108="Dividend",Fin_Analysis!F103,Fin_Analysis!F106))</f>
        <v>10.277546282377497</v>
      </c>
      <c r="G29" s="285">
        <f>IF(Fin_Analysis!C108="Profit",Fin_Analysis!I100,IF(Fin_Analysis!C108="Dividend",Fin_Analysis!I103,Fin_Analysis!I106))</f>
        <v>13.668778178119423</v>
      </c>
      <c r="H29" s="285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6601649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98624041</v>
      </c>
      <c r="D6" s="197">
        <f>IF(Inputs!D25="","",Inputs!D25)</f>
        <v>92593322</v>
      </c>
      <c r="E6" s="197">
        <f>IF(Inputs!E25="","",Inputs!E25)</f>
        <v>88141475</v>
      </c>
      <c r="F6" s="197">
        <f>IF(Inputs!F25="","",Inputs!F25)</f>
        <v>76034844</v>
      </c>
      <c r="G6" s="197">
        <f>IF(Inputs!G25="","",Inputs!G25)</f>
        <v>0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6.5131252122048178E-2</v>
      </c>
      <c r="D7" s="91">
        <f t="shared" si="1"/>
        <v>5.0507970283002468E-2</v>
      </c>
      <c r="E7" s="91">
        <f t="shared" si="1"/>
        <v>0.15922477594614382</v>
      </c>
      <c r="F7" s="91" t="e">
        <f t="shared" si="1"/>
        <v>#DIV/0!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61983946</v>
      </c>
      <c r="D8" s="196">
        <f>IF(Inputs!D26="","",Inputs!D26)</f>
        <v>59903540</v>
      </c>
      <c r="E8" s="196">
        <f>IF(Inputs!E26="","",Inputs!E26)</f>
        <v>55751561</v>
      </c>
      <c r="F8" s="196">
        <f>IF(Inputs!F26="","",Inputs!F26)</f>
        <v>47405564</v>
      </c>
      <c r="G8" s="196">
        <f>IF(Inputs!G26="","",Inputs!G26)</f>
        <v>0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36640095</v>
      </c>
      <c r="D9" s="149">
        <f t="shared" si="2"/>
        <v>32689782</v>
      </c>
      <c r="E9" s="149">
        <f t="shared" si="2"/>
        <v>32389914</v>
      </c>
      <c r="F9" s="149">
        <f t="shared" si="2"/>
        <v>28629280</v>
      </c>
      <c r="G9" s="149">
        <f t="shared" si="2"/>
        <v>0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29934742</v>
      </c>
      <c r="D10" s="196">
        <f>IF(Inputs!D27="","",Inputs!D27)</f>
        <v>26789160</v>
      </c>
      <c r="E10" s="196">
        <f>IF(Inputs!E27="","",Inputs!E27)</f>
        <v>27011976</v>
      </c>
      <c r="F10" s="196">
        <f>IF(Inputs!F27="","",Inputs!F27)</f>
        <v>24673872</v>
      </c>
      <c r="G10" s="196">
        <f>IF(Inputs!G27="","",Inputs!G27)</f>
        <v>0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103704</v>
      </c>
      <c r="D12" s="196">
        <f>IF(Inputs!D30="","",MAX(Inputs!D30,0)/(1-Fin_Analysis!$I$84))</f>
        <v>157557.33333333334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6.69375228703111E-2</v>
      </c>
      <c r="D13" s="224">
        <f t="shared" si="3"/>
        <v>6.2024609794933884E-2</v>
      </c>
      <c r="E13" s="224">
        <f t="shared" si="3"/>
        <v>6.1014840062524479E-2</v>
      </c>
      <c r="F13" s="224">
        <f t="shared" si="3"/>
        <v>5.2020991849473647E-2</v>
      </c>
      <c r="G13" s="224" t="e">
        <f t="shared" si="3"/>
        <v>#DIV/0!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6601649</v>
      </c>
      <c r="D14" s="225">
        <f t="shared" ref="D14:M14" si="4">IF(D6="","",D9-D10-MAX(D11,0)-MAX(D12,0))</f>
        <v>5743064.666666667</v>
      </c>
      <c r="E14" s="225">
        <f t="shared" si="4"/>
        <v>5377938</v>
      </c>
      <c r="F14" s="225">
        <f t="shared" si="4"/>
        <v>3955408</v>
      </c>
      <c r="G14" s="225">
        <f t="shared" si="4"/>
        <v>0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0.14949933235414256</v>
      </c>
      <c r="D15" s="227">
        <f t="shared" ref="D15:M15" si="5">IF(E14="","",IF(ABS(D14+E14)=ABS(D14)+ABS(E14),IF(D14&lt;0,-1,1)*(D14-E14)/E14,"Turn"))</f>
        <v>6.7893431770070053E-2</v>
      </c>
      <c r="E15" s="227">
        <f t="shared" si="5"/>
        <v>0.35964178663743412</v>
      </c>
      <c r="F15" s="227" t="e">
        <f t="shared" si="5"/>
        <v>#DIV/0!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1569281</v>
      </c>
      <c r="D17" s="196">
        <f>IF(Inputs!D29="","",Inputs!D29)</f>
        <v>1125263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e">
        <f t="shared" si="7"/>
        <v>#DIV/0!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5032368</v>
      </c>
      <c r="D22" s="158">
        <f t="shared" ref="D22:M22" si="8">IF(D6="","",D14-MAX(D16,0)-MAX(D17,0)-ABS(MAX(D21,0)-MAX(D19,0)))</f>
        <v>4617801.666666667</v>
      </c>
      <c r="E22" s="158">
        <f t="shared" si="8"/>
        <v>5377938</v>
      </c>
      <c r="F22" s="158">
        <f t="shared" si="8"/>
        <v>3955408</v>
      </c>
      <c r="G22" s="158">
        <f t="shared" si="8"/>
        <v>0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3.8269330294425877E-2</v>
      </c>
      <c r="D23" s="151">
        <f t="shared" si="9"/>
        <v>3.7403898847046445E-2</v>
      </c>
      <c r="E23" s="151">
        <f t="shared" si="9"/>
        <v>4.5761130046893361E-2</v>
      </c>
      <c r="F23" s="151">
        <f t="shared" si="9"/>
        <v>3.9015743887105235E-2</v>
      </c>
      <c r="G23" s="151" t="e">
        <f t="shared" si="9"/>
        <v>#DIV/0!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3774276</v>
      </c>
      <c r="D24" s="77">
        <f>IF(D6="","",D22*(1-Fin_Analysis!$I$84))</f>
        <v>3463351.25</v>
      </c>
      <c r="E24" s="77">
        <f>IF(E6="","",E22*(1-Fin_Analysis!$I$84))</f>
        <v>4033453.5</v>
      </c>
      <c r="F24" s="77">
        <f>IF(F6="","",F22*(1-Fin_Analysis!$I$84))</f>
        <v>2966556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8.9775690525181348E-2</v>
      </c>
      <c r="D25" s="228">
        <f t="shared" ref="D25:M25" si="10">IF(E24="","",IF(ABS(D24+E24)=ABS(D24)+ABS(E24),IF(D24&lt;0,-1,1)*(D24-E24)/E24,"Turn"))</f>
        <v>-0.14134345418882355</v>
      </c>
      <c r="E25" s="228">
        <f t="shared" si="10"/>
        <v>0.35964178663743412</v>
      </c>
      <c r="F25" s="228" t="e">
        <f t="shared" si="10"/>
        <v>#DIV/0!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0.6284871859996084</v>
      </c>
      <c r="D40" s="154">
        <f t="shared" si="34"/>
        <v>0.64695313556197931</v>
      </c>
      <c r="E40" s="154">
        <f t="shared" si="34"/>
        <v>0.63252357644343937</v>
      </c>
      <c r="F40" s="154">
        <f t="shared" si="34"/>
        <v>0.6234715757423005</v>
      </c>
      <c r="G40" s="154" t="e">
        <f t="shared" si="34"/>
        <v>#DIV/0!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0.30352378280666881</v>
      </c>
      <c r="D41" s="151">
        <f t="shared" si="35"/>
        <v>0.28932064884765663</v>
      </c>
      <c r="E41" s="151">
        <f t="shared" si="35"/>
        <v>0.30646158349403613</v>
      </c>
      <c r="F41" s="151">
        <f t="shared" si="35"/>
        <v>0.32450743240822588</v>
      </c>
      <c r="G41" s="151" t="e">
        <f t="shared" si="35"/>
        <v>#DIV/0!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e">
        <f t="shared" si="36"/>
        <v>#DIV/0!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1.5911749144409931E-2</v>
      </c>
      <c r="D43" s="151">
        <f t="shared" si="37"/>
        <v>1.2152744665538623E-2</v>
      </c>
      <c r="E43" s="151">
        <f t="shared" si="37"/>
        <v>0</v>
      </c>
      <c r="F43" s="151">
        <f t="shared" si="37"/>
        <v>0</v>
      </c>
      <c r="G43" s="151" t="e">
        <f t="shared" si="37"/>
        <v>#DIV/0!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1.0515083234117328E-3</v>
      </c>
      <c r="D44" s="151">
        <f t="shared" si="38"/>
        <v>1.701605795430186E-3</v>
      </c>
      <c r="E44" s="151">
        <f t="shared" si="38"/>
        <v>0</v>
      </c>
      <c r="F44" s="151">
        <f t="shared" si="38"/>
        <v>0</v>
      </c>
      <c r="G44" s="151" t="e">
        <f t="shared" si="38"/>
        <v>#DIV/0!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e">
        <f t="shared" si="39"/>
        <v>#DIV/0!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5.1025773725901176E-2</v>
      </c>
      <c r="D46" s="151">
        <f t="shared" si="40"/>
        <v>4.987186512939526E-2</v>
      </c>
      <c r="E46" s="151">
        <f t="shared" si="40"/>
        <v>6.1014840062524479E-2</v>
      </c>
      <c r="F46" s="151">
        <f t="shared" si="40"/>
        <v>5.2020991849473647E-2</v>
      </c>
      <c r="G46" s="151" t="e">
        <f t="shared" si="40"/>
        <v>#DIV/0!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8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0.31183748883229523</v>
      </c>
      <c r="D55" s="151">
        <f t="shared" si="47"/>
        <v>0.24367936980114274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>-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80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81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9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5">
        <f>I15+I34</f>
        <v>0</v>
      </c>
      <c r="E56" s="293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4">
        <f>Inputs!C84</f>
        <v>0</v>
      </c>
      <c r="E57" s="293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4">
        <f>Inputs!C85</f>
        <v>0</v>
      </c>
      <c r="E58" s="293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2">
        <f>Data!C5</f>
        <v>45291</v>
      </c>
      <c r="D72" s="282"/>
      <c r="E72" s="296" t="s">
        <v>191</v>
      </c>
      <c r="F72" s="296"/>
      <c r="H72" s="296" t="s">
        <v>190</v>
      </c>
      <c r="I72" s="29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3" t="s">
        <v>96</v>
      </c>
      <c r="D73" s="283"/>
      <c r="E73" s="297" t="s">
        <v>97</v>
      </c>
      <c r="F73" s="283"/>
      <c r="H73" s="297" t="s">
        <v>97</v>
      </c>
      <c r="I73" s="283"/>
      <c r="K73" s="24"/>
    </row>
    <row r="74" spans="1:11" ht="15" customHeight="1" x14ac:dyDescent="0.4">
      <c r="B74" s="3" t="s">
        <v>120</v>
      </c>
      <c r="C74" s="77">
        <f>Data!C6</f>
        <v>98624041</v>
      </c>
      <c r="D74" s="204"/>
      <c r="E74" s="233">
        <f>Inputs!E91</f>
        <v>98624041</v>
      </c>
      <c r="F74" s="204"/>
      <c r="H74" s="233">
        <f>Inputs!F91</f>
        <v>98624041</v>
      </c>
      <c r="I74" s="204"/>
      <c r="K74" s="24"/>
    </row>
    <row r="75" spans="1:11" ht="15" customHeight="1" x14ac:dyDescent="0.4">
      <c r="B75" s="103" t="s">
        <v>101</v>
      </c>
      <c r="C75" s="77">
        <f>Data!C8</f>
        <v>61983946</v>
      </c>
      <c r="D75" s="156">
        <f>C75/$C$74</f>
        <v>0.6284871859996084</v>
      </c>
      <c r="E75" s="233">
        <f>Inputs!E92</f>
        <v>61983946.000000007</v>
      </c>
      <c r="F75" s="157">
        <f>E75/E74</f>
        <v>0.6284871859996084</v>
      </c>
      <c r="H75" s="233">
        <f>Inputs!F92</f>
        <v>61983946.000000007</v>
      </c>
      <c r="I75" s="157">
        <f>H75/$H$74</f>
        <v>0.6284871859996084</v>
      </c>
      <c r="K75" s="24"/>
    </row>
    <row r="76" spans="1:11" ht="15" customHeight="1" x14ac:dyDescent="0.4">
      <c r="B76" s="35" t="s">
        <v>91</v>
      </c>
      <c r="C76" s="158">
        <f>C74-C75</f>
        <v>36640095</v>
      </c>
      <c r="D76" s="205"/>
      <c r="E76" s="159">
        <f>E74-E75</f>
        <v>36640094.999999993</v>
      </c>
      <c r="F76" s="205"/>
      <c r="H76" s="159">
        <f>H74-H75</f>
        <v>36640094.999999993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29934742</v>
      </c>
      <c r="D77" s="156">
        <f>C77/$C$74</f>
        <v>0.30352378280666881</v>
      </c>
      <c r="E77" s="233">
        <f>Inputs!E93</f>
        <v>29934742</v>
      </c>
      <c r="F77" s="157">
        <f>E77/E74</f>
        <v>0.30352378280666881</v>
      </c>
      <c r="H77" s="233">
        <f>Inputs!F93</f>
        <v>29934742</v>
      </c>
      <c r="I77" s="157">
        <f>H77/$H$74</f>
        <v>0.30352378280666881</v>
      </c>
      <c r="K77" s="24"/>
    </row>
    <row r="78" spans="1:11" ht="15" customHeight="1" x14ac:dyDescent="0.4">
      <c r="B78" s="73" t="s">
        <v>160</v>
      </c>
      <c r="C78" s="77">
        <f>MAX(Data!C12,0)</f>
        <v>103704</v>
      </c>
      <c r="D78" s="156">
        <f>C78/$C$74</f>
        <v>1.0515083234117328E-3</v>
      </c>
      <c r="E78" s="177">
        <f>E74*F78</f>
        <v>103703.99999999999</v>
      </c>
      <c r="F78" s="157">
        <f>I78</f>
        <v>1.0515083234117328E-3</v>
      </c>
      <c r="H78" s="233">
        <f>Inputs!F97</f>
        <v>103703.99999999999</v>
      </c>
      <c r="I78" s="157">
        <f>H78/$H$74</f>
        <v>1.0515083234117328E-3</v>
      </c>
      <c r="K78" s="24"/>
    </row>
    <row r="79" spans="1:11" ht="15" customHeight="1" x14ac:dyDescent="0.4">
      <c r="B79" s="251" t="s">
        <v>216</v>
      </c>
      <c r="C79" s="252">
        <f>C76-C77-C78</f>
        <v>6601649</v>
      </c>
      <c r="D79" s="253">
        <f>C79/C74</f>
        <v>6.69375228703111E-2</v>
      </c>
      <c r="E79" s="254">
        <f>E76-E77-E78</f>
        <v>6601648.9999999925</v>
      </c>
      <c r="F79" s="253">
        <f>E79/E74</f>
        <v>6.6937522870311031E-2</v>
      </c>
      <c r="G79" s="255"/>
      <c r="H79" s="254">
        <f>H76-H77-H78</f>
        <v>6601648.9999999925</v>
      </c>
      <c r="I79" s="253">
        <f>H79/H74</f>
        <v>6.6937522870311031E-2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1569281</v>
      </c>
      <c r="D81" s="156">
        <f>C81/$C$74</f>
        <v>1.5911749144409931E-2</v>
      </c>
      <c r="E81" s="177">
        <f>E74*F81</f>
        <v>1569281</v>
      </c>
      <c r="F81" s="157">
        <f>I81</f>
        <v>1.5911749144409931E-2</v>
      </c>
      <c r="H81" s="233">
        <f>Inputs!F94</f>
        <v>1569281</v>
      </c>
      <c r="I81" s="157">
        <f>H81/$H$74</f>
        <v>1.5911749144409931E-2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5032368</v>
      </c>
      <c r="D83" s="161">
        <f>C83/$C$74</f>
        <v>5.1025773725901176E-2</v>
      </c>
      <c r="E83" s="162">
        <f>E79-E81-E82-E80</f>
        <v>5032367.9999999925</v>
      </c>
      <c r="F83" s="161">
        <f>E83/E74</f>
        <v>5.10257737259011E-2</v>
      </c>
      <c r="H83" s="162">
        <f>H79-H81-H82-H80</f>
        <v>5032367.9999999925</v>
      </c>
      <c r="I83" s="161">
        <f>H83/$H$74</f>
        <v>5.10257737259011E-2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3774276</v>
      </c>
      <c r="D85" s="253">
        <f>C85/$C$74</f>
        <v>3.8269330294425877E-2</v>
      </c>
      <c r="E85" s="259">
        <f>E83*(1-F84)</f>
        <v>3774275.9999999944</v>
      </c>
      <c r="F85" s="253">
        <f>E85/E74</f>
        <v>3.8269330294425821E-2</v>
      </c>
      <c r="G85" s="255"/>
      <c r="H85" s="259">
        <f>H83*(1-I84)</f>
        <v>3774275.9999999944</v>
      </c>
      <c r="I85" s="253">
        <f>H85/$H$74</f>
        <v>3.8269330294425821E-2</v>
      </c>
      <c r="K85" s="24"/>
    </row>
    <row r="86" spans="1:11" ht="15" customHeight="1" x14ac:dyDescent="0.4">
      <c r="B86" s="86" t="s">
        <v>151</v>
      </c>
      <c r="C86" s="164">
        <f>C85*Data!C4/Common_Shares</f>
        <v>0.96220829457514867</v>
      </c>
      <c r="D86" s="204"/>
      <c r="E86" s="165">
        <f>E85*Data!C4/Common_Shares</f>
        <v>0.96220829457514723</v>
      </c>
      <c r="F86" s="204"/>
      <c r="H86" s="165">
        <f>H85*Data!C4/Common_Shares</f>
        <v>0.96220829457514723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5.9125798529957141E-2</v>
      </c>
      <c r="D87" s="204"/>
      <c r="E87" s="257">
        <f>E86*Exchange_Rate/Dashboard!G3</f>
        <v>5.9125798529957051E-2</v>
      </c>
      <c r="F87" s="204"/>
      <c r="H87" s="257">
        <f>H86*Exchange_Rate/Dashboard!G3</f>
        <v>5.9125798529957051E-2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0.48899999999999999</v>
      </c>
      <c r="D88" s="163">
        <f>C88/C86</f>
        <v>0.50820597032569959</v>
      </c>
      <c r="E88" s="167">
        <f>Inputs!E98</f>
        <v>0.48899999999999999</v>
      </c>
      <c r="F88" s="163">
        <f>E88/E86</f>
        <v>0.50820597032570036</v>
      </c>
      <c r="H88" s="167">
        <f>Inputs!F98</f>
        <v>0.48899999999999999</v>
      </c>
      <c r="I88" s="163">
        <f>H88/H86</f>
        <v>0.50820597032570036</v>
      </c>
      <c r="K88" s="24"/>
    </row>
    <row r="89" spans="1:11" ht="15" customHeight="1" x14ac:dyDescent="0.4">
      <c r="B89" s="86" t="s">
        <v>205</v>
      </c>
      <c r="C89" s="256">
        <f>C88*Exchange_Rate/Dashboard!G3</f>
        <v>3.0048083813198689E-2</v>
      </c>
      <c r="D89" s="204"/>
      <c r="E89" s="256">
        <f>E88*Exchange_Rate/Dashboard!G3</f>
        <v>3.0048083813198689E-2</v>
      </c>
      <c r="F89" s="204"/>
      <c r="H89" s="256">
        <f>H88*Exchange_Rate/Dashboard!G3</f>
        <v>3.0048083813198689E-2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6" t="s">
        <v>191</v>
      </c>
      <c r="F92" s="296"/>
      <c r="G92" s="86"/>
      <c r="H92" s="296" t="s">
        <v>190</v>
      </c>
      <c r="I92" s="296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20.671816584923874</v>
      </c>
      <c r="H93" s="86" t="s">
        <v>194</v>
      </c>
      <c r="I93" s="142">
        <f>FV(H87,D93,0,-(H86/(C93-D94)))*Exchange_Rate</f>
        <v>20.671816584923874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9.1404623509682068</v>
      </c>
      <c r="H94" s="86" t="s">
        <v>195</v>
      </c>
      <c r="I94" s="142">
        <f>FV(H89,D93,0,-(H88/(C93-D94)))*Exchange_Rate</f>
        <v>9.1404623509682068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40313824.450654931</v>
      </c>
      <c r="D97" s="208"/>
      <c r="E97" s="121">
        <f>PV(C94,D93,0,-F93)</f>
        <v>10.277546282377497</v>
      </c>
      <c r="F97" s="208"/>
      <c r="H97" s="121">
        <f>PV(C94,D93,0,-I93)</f>
        <v>10.277546282377497</v>
      </c>
      <c r="I97" s="121">
        <f>PV(C93,D93,0,-I93)</f>
        <v>13.668778178119423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40313824.450654931</v>
      </c>
      <c r="D100" s="108">
        <f>MIN(F100*(1-C94),E100)</f>
        <v>8.7359143400208712</v>
      </c>
      <c r="E100" s="108">
        <f>MAX(E97+H98+E99,0)</f>
        <v>10.277546282377497</v>
      </c>
      <c r="F100" s="108">
        <f>(E100+H100)/2</f>
        <v>10.277546282377497</v>
      </c>
      <c r="H100" s="108">
        <f>MAX(C100*Data!$C$4/Common_Shares,0)</f>
        <v>10.277546282377498</v>
      </c>
      <c r="I100" s="108">
        <f>MAX(I97+H98+H99,0)</f>
        <v>13.668778178119423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17825573.920943819</v>
      </c>
      <c r="D103" s="108">
        <f>MIN(F103*(1-C94),E103)</f>
        <v>3.8627614461556088</v>
      </c>
      <c r="E103" s="121">
        <f>PV(C94,D93,0,-F94)</f>
        <v>4.5444252307713047</v>
      </c>
      <c r="F103" s="108">
        <f>(E103+H103)/2</f>
        <v>4.5444252307713047</v>
      </c>
      <c r="H103" s="121">
        <f>PV(C94,D93,0,-I94)</f>
        <v>4.5444252307713047</v>
      </c>
      <c r="I103" s="108">
        <f>PV(C93,D93,0,-I94)</f>
        <v>6.0439270930816686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29069699.185799371</v>
      </c>
      <c r="D106" s="108">
        <f>(D100+D103)/2</f>
        <v>6.2993378930882402</v>
      </c>
      <c r="E106" s="121">
        <f>(E100+E103)/2</f>
        <v>7.4109857565744006</v>
      </c>
      <c r="F106" s="108">
        <f>(F100+F103)/2</f>
        <v>7.4109857565744006</v>
      </c>
      <c r="H106" s="121">
        <f>(H100+H103)/2</f>
        <v>7.4109857565744015</v>
      </c>
      <c r="I106" s="121">
        <f>(I100+I103)/2</f>
        <v>9.8563526356005458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2024-12-17T09:17:10Z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