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46087A0-A259-425A-BBDB-24DFED440E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B47" i="4"/>
  <c r="C49" i="3"/>
  <c r="G56" i="2"/>
  <c r="I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I3" i="3"/>
  <c r="H56" i="2"/>
  <c r="F56" i="2"/>
  <c r="M56" i="2"/>
  <c r="E56" i="2"/>
  <c r="L56" i="2"/>
  <c r="D56" i="2"/>
  <c r="K56" i="2"/>
  <c r="J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<sst xmlns="http://schemas.openxmlformats.org/spreadsheetml/2006/main" count="391" uniqueCount="275">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</sst>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74262726645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271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507009</v>
      </c>
      <c r="D25" s="147">
        <v>467406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4144</v>
      </c>
      <c r="D26" s="148">
        <v>4484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100346</v>
      </c>
      <c r="D27" s="148">
        <v>96923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295738</v>
      </c>
      <c r="D29" s="148">
        <v>248185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524</v>
      </c>
      <c r="D30" s="148">
        <v>-147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0.375+0.182</f>
        <v>0.55699999999999994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0.10065269535433687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507009</v>
      </c>
      <c r="D91" s="204"/>
      <c r="E91" s="246">
        <f>C91</f>
        <v>507009</v>
      </c>
      <c r="F91" s="246">
        <f>C91</f>
        <v>507009</v>
      </c>
    </row>
    <row r="92" spans="2:8" ht="13.9" x14ac:dyDescent="0.4">
      <c r="B92" s="103" t="s">
        <v>101</v>
      </c>
      <c r="C92" s="77">
        <f>C26</f>
        <v>4144</v>
      </c>
      <c r="D92" s="156">
        <f>C92/C91</f>
        <v>8.1734249293405042E-3</v>
      </c>
      <c r="E92" s="247">
        <f>E91*D92</f>
        <v>4144</v>
      </c>
      <c r="F92" s="247">
        <f>F91*D92</f>
        <v>4144</v>
      </c>
    </row>
    <row r="93" spans="2:8" ht="13.9" x14ac:dyDescent="0.4">
      <c r="B93" s="103" t="s">
        <v>228</v>
      </c>
      <c r="C93" s="77">
        <f>C27+C28</f>
        <v>100346</v>
      </c>
      <c r="D93" s="156">
        <f>C93/C91</f>
        <v>0.19791759120646774</v>
      </c>
      <c r="E93" s="247">
        <f>E91*D93</f>
        <v>100346</v>
      </c>
      <c r="F93" s="247">
        <f>F91*D93</f>
        <v>100346</v>
      </c>
    </row>
    <row r="94" spans="2:8" ht="13.9" x14ac:dyDescent="0.4">
      <c r="B94" s="103" t="s">
        <v>235</v>
      </c>
      <c r="C94" s="77">
        <f>C29</f>
        <v>295738</v>
      </c>
      <c r="D94" s="156">
        <f>C94/C91</f>
        <v>0.583299310268654</v>
      </c>
      <c r="E94" s="248"/>
      <c r="F94" s="247">
        <f>F91*D94</f>
        <v>295738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698.66666666666663</v>
      </c>
      <c r="D97" s="156">
        <f>C97/C91</f>
        <v>1.3780163008283218E-3</v>
      </c>
      <c r="E97" s="248"/>
      <c r="F97" s="247">
        <f>F91*D97</f>
        <v>698.66666666666663</v>
      </c>
    </row>
    <row r="98" spans="2:7" ht="13.9" x14ac:dyDescent="0.4">
      <c r="B98" s="85" t="s">
        <v>192</v>
      </c>
      <c r="C98" s="232">
        <f>C44</f>
        <v>0.55699999999999994</v>
      </c>
      <c r="D98" s="261"/>
      <c r="E98" s="249">
        <f>F98</f>
        <v>0.375</v>
      </c>
      <c r="F98" s="249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3328.HK</v>
      </c>
      <c r="D3" s="289"/>
      <c r="E3" s="86"/>
      <c r="F3" s="3" t="s">
        <v>1</v>
      </c>
      <c r="G3" s="130">
        <v>5.91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交通银行</v>
      </c>
      <c r="D4" s="291"/>
      <c r="E4" s="86"/>
      <c r="F4" s="3" t="s">
        <v>2</v>
      </c>
      <c r="G4" s="294">
        <f>Inputs!C10</f>
        <v>74262726645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45606</v>
      </c>
      <c r="D5" s="293"/>
      <c r="E5" s="34"/>
      <c r="F5" s="35" t="s">
        <v>95</v>
      </c>
      <c r="G5" s="286">
        <f>G3*G4/1000000</f>
        <v>438892.71447195002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259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0.79253096756336339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253</v>
      </c>
      <c r="C24" s="168">
        <f>Fin_Analysis!I81</f>
        <v>0.583299310268654</v>
      </c>
      <c r="F24" s="138" t="s">
        <v>237</v>
      </c>
      <c r="G24" s="263">
        <f>G3/(Fin_Analysis!H86*G7)</f>
        <v>5.1653095066677714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0.35002400640854436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6.7764381971052653E-2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3.5457650324737786</v>
      </c>
      <c r="D29" s="127">
        <f>G29*(1+G20)</f>
        <v>6.3801240358288362</v>
      </c>
      <c r="E29" s="86"/>
      <c r="F29" s="129">
        <f>IF(Fin_Analysis!C108="Profit",Fin_Analysis!F100,IF(Fin_Analysis!C108="Dividend",Fin_Analysis!F103,Fin_Analysis!F106))</f>
        <v>4.1714882734985634</v>
      </c>
      <c r="G29" s="285">
        <f>IF(Fin_Analysis!C108="Profit",Fin_Analysis!I100,IF(Fin_Analysis!C108="Dividend",Fin_Analysis!I103,Fin_Analysis!I106))</f>
        <v>5.5479339441989888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401820.33333333331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507009</v>
      </c>
      <c r="D6" s="197">
        <f>IF(Inputs!D25="","",Inputs!D25)</f>
        <v>467406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8.4729335952041795E-2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4144</v>
      </c>
      <c r="D8" s="196">
        <f>IF(Inputs!D26="","",Inputs!D26)</f>
        <v>4484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502865</v>
      </c>
      <c r="D9" s="149">
        <f t="shared" si="2"/>
        <v>462922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100346</v>
      </c>
      <c r="D10" s="196">
        <f>IF(Inputs!D27="","",Inputs!D27)</f>
        <v>96923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698.66666666666663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0.79253096756336339</v>
      </c>
      <c r="D13" s="224">
        <f t="shared" si="3"/>
        <v>0.78304300757799428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401820.33333333331</v>
      </c>
      <c r="D14" s="225">
        <f t="shared" ref="D14:M14" si="4">IF(D6="","",D9-D10-MAX(D11,0)-MAX(D12,0))</f>
        <v>365999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9.787276285818626E-2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295738</v>
      </c>
      <c r="D17" s="196">
        <f>IF(Inputs!D29="","",Inputs!D29)</f>
        <v>248185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106082.33333333331</v>
      </c>
      <c r="D22" s="158">
        <f t="shared" ref="D22:M22" si="8">IF(D6="","",D14-MAX(D16,0)-MAX(D17,0)-ABS(MAX(D21,0)-MAX(D19,0)))</f>
        <v>117814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0.15692374297103204</v>
      </c>
      <c r="D23" s="151">
        <f t="shared" si="9"/>
        <v>0.18904442818449058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-9.9577865675273616E-2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8.1734249293405042E-3</v>
      </c>
      <c r="D40" s="154">
        <f t="shared" si="34"/>
        <v>9.593372785116152E-3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0.19791759120646774</v>
      </c>
      <c r="D41" s="151">
        <f t="shared" si="35"/>
        <v>0.20736361963688957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0.583299310268654</v>
      </c>
      <c r="D43" s="151">
        <f t="shared" si="37"/>
        <v>0.53098376999867358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1.3780163008283218E-3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0.20923165729470938</v>
      </c>
      <c r="D46" s="151">
        <f t="shared" si="40"/>
        <v>0.25205923757932075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2.7878157531728505</v>
      </c>
      <c r="D55" s="151">
        <f t="shared" si="47"/>
        <v>2.1065832583563924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507009</v>
      </c>
      <c r="D74" s="204"/>
      <c r="E74" s="233">
        <f>Inputs!E91</f>
        <v>507009</v>
      </c>
      <c r="F74" s="204"/>
      <c r="H74" s="233">
        <f>Inputs!F91</f>
        <v>507009</v>
      </c>
      <c r="I74" s="204"/>
      <c r="K74" s="24"/>
    </row>
    <row r="75" spans="1:11" ht="15" customHeight="1" x14ac:dyDescent="0.4">
      <c r="B75" s="103" t="s">
        <v>101</v>
      </c>
      <c r="C75" s="77">
        <f>Data!C8</f>
        <v>4144</v>
      </c>
      <c r="D75" s="156">
        <f>C75/$C$74</f>
        <v>8.1734249293405042E-3</v>
      </c>
      <c r="E75" s="233">
        <f>Inputs!E92</f>
        <v>4144</v>
      </c>
      <c r="F75" s="157">
        <f>E75/E74</f>
        <v>8.1734249293405042E-3</v>
      </c>
      <c r="H75" s="233">
        <f>Inputs!F92</f>
        <v>4144</v>
      </c>
      <c r="I75" s="157">
        <f>H75/$H$74</f>
        <v>8.1734249293405042E-3</v>
      </c>
      <c r="K75" s="24"/>
    </row>
    <row r="76" spans="1:11" ht="15" customHeight="1" x14ac:dyDescent="0.4">
      <c r="B76" s="35" t="s">
        <v>91</v>
      </c>
      <c r="C76" s="158">
        <f>C74-C75</f>
        <v>502865</v>
      </c>
      <c r="D76" s="205"/>
      <c r="E76" s="159">
        <f>E74-E75</f>
        <v>502865</v>
      </c>
      <c r="F76" s="205"/>
      <c r="H76" s="159">
        <f>H74-H75</f>
        <v>502865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100346</v>
      </c>
      <c r="D77" s="156">
        <f>C77/$C$74</f>
        <v>0.19791759120646774</v>
      </c>
      <c r="E77" s="233">
        <f>Inputs!E93</f>
        <v>100346</v>
      </c>
      <c r="F77" s="157">
        <f>E77/E74</f>
        <v>0.19791759120646774</v>
      </c>
      <c r="H77" s="233">
        <f>Inputs!F93</f>
        <v>100346</v>
      </c>
      <c r="I77" s="157">
        <f>H77/$H$74</f>
        <v>0.19791759120646774</v>
      </c>
      <c r="K77" s="24"/>
    </row>
    <row r="78" spans="1:11" ht="15" customHeight="1" x14ac:dyDescent="0.4">
      <c r="B78" s="73" t="s">
        <v>160</v>
      </c>
      <c r="C78" s="77">
        <f>MAX(Data!C12,0)</f>
        <v>698.66666666666663</v>
      </c>
      <c r="D78" s="156">
        <f>C78/$C$74</f>
        <v>1.3780163008283218E-3</v>
      </c>
      <c r="E78" s="177">
        <f>E74*F78</f>
        <v>698.66666666666663</v>
      </c>
      <c r="F78" s="157">
        <f>I78</f>
        <v>1.3780163008283218E-3</v>
      </c>
      <c r="H78" s="233">
        <f>Inputs!F97</f>
        <v>698.66666666666663</v>
      </c>
      <c r="I78" s="157">
        <f>H78/$H$74</f>
        <v>1.3780163008283218E-3</v>
      </c>
      <c r="K78" s="24"/>
    </row>
    <row r="79" spans="1:11" ht="15" customHeight="1" x14ac:dyDescent="0.4">
      <c r="B79" s="251" t="s">
        <v>216</v>
      </c>
      <c r="C79" s="252">
        <f>C76-C77-C78</f>
        <v>401820.33333333331</v>
      </c>
      <c r="D79" s="253">
        <f>C79/C74</f>
        <v>0.79253096756336339</v>
      </c>
      <c r="E79" s="254">
        <f>E76-E77-E78</f>
        <v>401820.33333333331</v>
      </c>
      <c r="F79" s="253">
        <f>E79/E74</f>
        <v>0.79253096756336339</v>
      </c>
      <c r="G79" s="255"/>
      <c r="H79" s="254">
        <f>H76-H77-H78</f>
        <v>401820.33333333331</v>
      </c>
      <c r="I79" s="253">
        <f>H79/H74</f>
        <v>0.79253096756336339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295738</v>
      </c>
      <c r="D81" s="156">
        <f>C81/$C$74</f>
        <v>0.583299310268654</v>
      </c>
      <c r="E81" s="177">
        <f>E74*F81</f>
        <v>295738</v>
      </c>
      <c r="F81" s="157">
        <f>I81</f>
        <v>0.583299310268654</v>
      </c>
      <c r="H81" s="233">
        <f>Inputs!F94</f>
        <v>295738</v>
      </c>
      <c r="I81" s="157">
        <f>H81/$H$74</f>
        <v>0.583299310268654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106082.33333333331</v>
      </c>
      <c r="D83" s="161">
        <f>C83/$C$74</f>
        <v>0.20923165729470938</v>
      </c>
      <c r="E83" s="162">
        <f>E79-E81-E82-E80</f>
        <v>106082.33333333331</v>
      </c>
      <c r="F83" s="161">
        <f>E83/E74</f>
        <v>0.20923165729470938</v>
      </c>
      <c r="H83" s="162">
        <f>H79-H81-H82-H80</f>
        <v>106082.33333333331</v>
      </c>
      <c r="I83" s="161">
        <f>H83/$H$74</f>
        <v>0.20923165729470938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79561.749999999985</v>
      </c>
      <c r="D85" s="253">
        <f>C85/$C$74</f>
        <v>0.15692374297103204</v>
      </c>
      <c r="E85" s="259">
        <f>E83*(1-F84)</f>
        <v>79561.749999999985</v>
      </c>
      <c r="F85" s="253">
        <f>E85/E74</f>
        <v>0.15692374297103204</v>
      </c>
      <c r="G85" s="255"/>
      <c r="H85" s="259">
        <f>H83*(1-I84)</f>
        <v>79561.749999999985</v>
      </c>
      <c r="I85" s="253">
        <f>H85/$H$74</f>
        <v>0.15692374297103204</v>
      </c>
      <c r="K85" s="24"/>
    </row>
    <row r="86" spans="1:11" ht="15" customHeight="1" x14ac:dyDescent="0.4">
      <c r="B86" s="86" t="s">
        <v>151</v>
      </c>
      <c r="C86" s="164">
        <f>C85*Data!C4/Common_Shares</f>
        <v>1.0713550874630693</v>
      </c>
      <c r="D86" s="204"/>
      <c r="E86" s="165">
        <f>E85*Data!C4/Common_Shares</f>
        <v>1.0713550874630693</v>
      </c>
      <c r="F86" s="204"/>
      <c r="H86" s="165">
        <f>H85*Data!C4/Common_Shares</f>
        <v>1.0713550874630693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0.1935992409959412</v>
      </c>
      <c r="D87" s="204"/>
      <c r="E87" s="257">
        <f>E86*Exchange_Rate/Dashboard!G3</f>
        <v>0.1935992409959412</v>
      </c>
      <c r="F87" s="204"/>
      <c r="H87" s="257">
        <f>H86*Exchange_Rate/Dashboard!G3</f>
        <v>0.1935992409959412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0.55699999999999994</v>
      </c>
      <c r="D88" s="163">
        <f>C88/C86</f>
        <v>0.5199023241854912</v>
      </c>
      <c r="E88" s="167">
        <f>Inputs!E98</f>
        <v>0.375</v>
      </c>
      <c r="F88" s="163">
        <f>E88/E86</f>
        <v>0.35002400640854436</v>
      </c>
      <c r="H88" s="167">
        <f>Inputs!F98</f>
        <v>0.375</v>
      </c>
      <c r="I88" s="163">
        <f>H88/H86</f>
        <v>0.35002400640854436</v>
      </c>
      <c r="K88" s="24"/>
    </row>
    <row r="89" spans="1:11" ht="15" customHeight="1" x14ac:dyDescent="0.4">
      <c r="B89" s="86" t="s">
        <v>205</v>
      </c>
      <c r="C89" s="256">
        <f>C88*Exchange_Rate/Dashboard!G3</f>
        <v>0.10065269535433687</v>
      </c>
      <c r="D89" s="204"/>
      <c r="E89" s="256">
        <f>E88*Exchange_Rate/Dashboard!G3</f>
        <v>6.7764381971052653E-2</v>
      </c>
      <c r="F89" s="204"/>
      <c r="H89" s="256">
        <f>H88*Exchange_Rate/Dashboard!G3</f>
        <v>6.7764381971052653E-2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41.840601413150473</v>
      </c>
      <c r="H93" s="86" t="s">
        <v>194</v>
      </c>
      <c r="I93" s="142">
        <f>FV(H87,D93,0,-(H86/(C93-D94)))*Exchange_Rate</f>
        <v>41.840601413150473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8.3903529214732995</v>
      </c>
      <c r="H94" s="86" t="s">
        <v>195</v>
      </c>
      <c r="I94" s="142">
        <f>FV(H89,D93,0,-(H88/(C93-D94)))*Exchange_Rate</f>
        <v>8.3903529214732995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1544826.1326817144</v>
      </c>
      <c r="D97" s="208"/>
      <c r="E97" s="121">
        <f>PV(C94,D93,0,-F93)</f>
        <v>20.802173613507165</v>
      </c>
      <c r="F97" s="208"/>
      <c r="H97" s="121">
        <f>PV(C94,D93,0,-I93)</f>
        <v>20.802173613507165</v>
      </c>
      <c r="I97" s="121">
        <f>PV(C93,D93,0,-I93)</f>
        <v>27.666165535377399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1544826.1326817144</v>
      </c>
      <c r="D100" s="108">
        <f>MIN(F100*(1-C94),E100)</f>
        <v>17.681847571481089</v>
      </c>
      <c r="E100" s="108">
        <f>MAX(E97+H98+E99,0)</f>
        <v>20.802173613507165</v>
      </c>
      <c r="F100" s="108">
        <f>(E100+H100)/2</f>
        <v>20.802173613507165</v>
      </c>
      <c r="H100" s="108">
        <f>MAX(C100*Data!$C$4/Common_Shares,0)</f>
        <v>20.802173613507165</v>
      </c>
      <c r="I100" s="108">
        <f>MAX(I97+H98+H99,0)</f>
        <v>27.666165535377399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309786.09335764678</v>
      </c>
      <c r="D103" s="108">
        <f>MIN(F103*(1-C94),E103)</f>
        <v>3.5457650324737786</v>
      </c>
      <c r="E103" s="121">
        <f>PV(C94,D93,0,-F94)</f>
        <v>4.1714882734985634</v>
      </c>
      <c r="F103" s="108">
        <f>(E103+H103)/2</f>
        <v>4.1714882734985634</v>
      </c>
      <c r="H103" s="121">
        <f>PV(C94,D93,0,-I94)</f>
        <v>4.1714882734985634</v>
      </c>
      <c r="I103" s="108">
        <f>PV(C93,D93,0,-I94)</f>
        <v>5.5479339441989888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927306.11301968072</v>
      </c>
      <c r="D106" s="108">
        <f>(D100+D103)/2</f>
        <v>10.613806301977434</v>
      </c>
      <c r="E106" s="121">
        <f>(E100+E103)/2</f>
        <v>12.486830943502865</v>
      </c>
      <c r="F106" s="108">
        <f>(F100+F103)/2</f>
        <v>12.486830943502865</v>
      </c>
      <c r="H106" s="121">
        <f>(H100+H103)/2</f>
        <v>12.486830943502865</v>
      </c>
      <c r="I106" s="121">
        <f>(I100+I103)/2</f>
        <v>16.607049739788195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