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B90B09-D7AB-4EDC-990D-C80D403118E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47" i="4"/>
  <c r="C49" i="3"/>
  <c r="F56" i="2"/>
  <c r="G56" i="2"/>
  <c r="I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D56" i="4"/>
  <c r="I3" i="3"/>
  <c r="H56" i="2"/>
  <c r="D27" i="2"/>
  <c r="M56" i="2"/>
  <c r="E56" i="2"/>
  <c r="L56" i="2"/>
  <c r="D56" i="2"/>
  <c r="J27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<sst xmlns="http://schemas.openxmlformats.org/spreadsheetml/2006/main" count="391" uniqueCount="275">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</sst>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294387791241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271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1141220</v>
      </c>
      <c r="D25" s="147">
        <v>967950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13504</v>
      </c>
      <c r="D26" s="148">
        <v>12212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222933</v>
      </c>
      <c r="D27" s="148">
        <v>199506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582306</v>
      </c>
      <c r="D29" s="148">
        <v>421582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31128291</v>
      </c>
      <c r="D37" s="148">
        <v>26330247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2778976</v>
      </c>
      <c r="D41" s="148">
        <v>2563301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130155</v>
      </c>
      <c r="D42" s="148">
        <v>139328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0.2364</v>
      </c>
      <c r="D44" s="245">
        <v>0.23200000000000001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6.6264388029343813E-2</v>
      </c>
      <c r="D45" s="150">
        <f>IF(D44="","",D44*Exchange_Rate/Dashboard!$G$3)</f>
        <v>6.5031040705616605E-2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1141220</v>
      </c>
      <c r="D91" s="204"/>
      <c r="E91" s="246">
        <f>C91</f>
        <v>1141220</v>
      </c>
      <c r="F91" s="246">
        <f>C91</f>
        <v>1141220</v>
      </c>
    </row>
    <row r="92" spans="2:8" ht="13.9" x14ac:dyDescent="0.4">
      <c r="B92" s="103" t="s">
        <v>101</v>
      </c>
      <c r="C92" s="77">
        <f>C26</f>
        <v>13504</v>
      </c>
      <c r="D92" s="156">
        <f>C92/C91</f>
        <v>1.1832950701880444E-2</v>
      </c>
      <c r="E92" s="247">
        <f>E91*D92</f>
        <v>13504</v>
      </c>
      <c r="F92" s="247">
        <f>F91*D92</f>
        <v>13504</v>
      </c>
    </row>
    <row r="93" spans="2:8" ht="13.9" x14ac:dyDescent="0.4">
      <c r="B93" s="103" t="s">
        <v>228</v>
      </c>
      <c r="C93" s="77">
        <f>C27+C28</f>
        <v>222933</v>
      </c>
      <c r="D93" s="156">
        <f>C93/C91</f>
        <v>0.19534620844359546</v>
      </c>
      <c r="E93" s="247">
        <f>E91*D93</f>
        <v>222933</v>
      </c>
      <c r="F93" s="247">
        <f>F91*D93</f>
        <v>222933</v>
      </c>
    </row>
    <row r="94" spans="2:8" ht="13.9" x14ac:dyDescent="0.4">
      <c r="B94" s="103" t="s">
        <v>235</v>
      </c>
      <c r="C94" s="77">
        <f>C29</f>
        <v>582306</v>
      </c>
      <c r="D94" s="156">
        <f>C94/C91</f>
        <v>0.51024868123587042</v>
      </c>
      <c r="E94" s="248"/>
      <c r="F94" s="247">
        <f>F91*D94</f>
        <v>582306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0.2364</v>
      </c>
      <c r="D98" s="261"/>
      <c r="E98" s="249">
        <f>F98</f>
        <v>0.3</v>
      </c>
      <c r="F98" s="249"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3988.HK</v>
      </c>
      <c r="D3" s="289"/>
      <c r="E3" s="86"/>
      <c r="F3" s="3" t="s">
        <v>1</v>
      </c>
      <c r="G3" s="130">
        <v>3.81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中国银行</v>
      </c>
      <c r="D4" s="291"/>
      <c r="E4" s="86"/>
      <c r="F4" s="3" t="s">
        <v>2</v>
      </c>
      <c r="G4" s="294">
        <f>Inputs!C10</f>
        <v>294387791241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45605</v>
      </c>
      <c r="D5" s="293"/>
      <c r="E5" s="34"/>
      <c r="F5" s="35" t="s">
        <v>95</v>
      </c>
      <c r="G5" s="286">
        <f>G3*G4/1000000</f>
        <v>1121617.4846282101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C23*C22*(1/C21)</f>
        <v>0.34157951783076312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>
        <f>Data!C53</f>
        <v>7.8119566522421288E-2</v>
      </c>
      <c r="F21" s="86"/>
      <c r="G21" s="29"/>
    </row>
    <row r="22" spans="1:8" ht="15.75" customHeight="1" x14ac:dyDescent="0.4">
      <c r="B22" s="274" t="s">
        <v>259</v>
      </c>
      <c r="C22" s="275">
        <f>Data!C48</f>
        <v>3.365709185585497E-2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0.79282084085452409</v>
      </c>
      <c r="F23" s="138" t="s">
        <v>174</v>
      </c>
      <c r="G23" s="174">
        <f>G3/(Data!C34*Data!C4/Common_Shares*Exchange_Rate)</f>
        <v>0.37792209176928171</v>
      </c>
    </row>
    <row r="24" spans="1:8" ht="15.75" customHeight="1" x14ac:dyDescent="0.4">
      <c r="B24" s="135" t="s">
        <v>253</v>
      </c>
      <c r="C24" s="168">
        <f>Fin_Analysis!I81</f>
        <v>0.51024868123587042</v>
      </c>
      <c r="F24" s="138" t="s">
        <v>237</v>
      </c>
      <c r="G24" s="263">
        <f>G3/(Fin_Analysis!H86*G7)</f>
        <v>4.3423724188976012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0.36515818646415088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8.409186298140077E-2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3.0602239834279965</v>
      </c>
      <c r="D29" s="127">
        <f>G29*(1+G20)</f>
        <v>5.5064586662887427</v>
      </c>
      <c r="E29" s="86"/>
      <c r="F29" s="129">
        <f>IF(Fin_Analysis!C108="Profit",Fin_Analysis!F100,IF(Fin_Analysis!C108="Dividend",Fin_Analysis!F103,Fin_Analysis!F106))</f>
        <v>3.60026350991529</v>
      </c>
      <c r="G29" s="285">
        <f>IF(Fin_Analysis!C108="Profit",Fin_Analysis!I100,IF(Fin_Analysis!C108="Dividend",Fin_Analysis!I103,Fin_Analysis!I106))</f>
        <v>4.7882249272076027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904783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1141220</v>
      </c>
      <c r="D6" s="197">
        <f>IF(Inputs!D25="","",Inputs!D25)</f>
        <v>967950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0.17900718012294026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13504</v>
      </c>
      <c r="D8" s="196">
        <f>IF(Inputs!D26="","",Inputs!D26)</f>
        <v>12212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1127716</v>
      </c>
      <c r="D9" s="149">
        <f t="shared" si="2"/>
        <v>955738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222933</v>
      </c>
      <c r="D10" s="196">
        <f>IF(Inputs!D27="","",Inputs!D27)</f>
        <v>199506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0.79282084085452409</v>
      </c>
      <c r="D13" s="224">
        <f t="shared" si="3"/>
        <v>0.78127175990495379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904783</v>
      </c>
      <c r="D14" s="225">
        <f t="shared" ref="D14:M14" si="4">IF(D6="","",D9-D10-MAX(D11,0)-MAX(D12,0))</f>
        <v>756232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0.19643574987569953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582306</v>
      </c>
      <c r="D17" s="196">
        <f>IF(Inputs!D29="","",Inputs!D29)</f>
        <v>421582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322477</v>
      </c>
      <c r="D22" s="158">
        <f t="shared" ref="D22:M22" si="8">IF(D6="","",D14-MAX(D16,0)-MAX(D17,0)-ABS(MAX(D21,0)-MAX(D19,0)))</f>
        <v>334650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0.21192911971399028</v>
      </c>
      <c r="D23" s="151">
        <f t="shared" si="9"/>
        <v>0.2592980009298001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241857.75</v>
      </c>
      <c r="D24" s="77">
        <f>IF(D6="","",D22*(1-Fin_Analysis!$I$84))</f>
        <v>250987.5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-3.6375317495891228E-2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33907267</v>
      </c>
      <c r="D27" s="65">
        <f>IF(D34="","",D34+D30)</f>
        <v>28893548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31128291</v>
      </c>
      <c r="D30" s="196">
        <f>IF(Inputs!D37="","",Inputs!D37)</f>
        <v>26330247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2778976</v>
      </c>
      <c r="D34" s="196">
        <f>IF(Inputs!D41="","",Inputs!D41)</f>
        <v>2563301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130155</v>
      </c>
      <c r="D35" s="196">
        <f>IF(Inputs!D42="","",Inputs!D42)</f>
        <v>139328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33907267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2.6684043865876892E-2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1.1832950701880444E-2</v>
      </c>
      <c r="D40" s="154">
        <f t="shared" si="34"/>
        <v>1.2616354150524305E-2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0.19534620844359546</v>
      </c>
      <c r="D41" s="151">
        <f t="shared" si="35"/>
        <v>0.20611188594452193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0.51024868123587042</v>
      </c>
      <c r="D43" s="151">
        <f t="shared" si="37"/>
        <v>0.43554109199855362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0.28257215961865373</v>
      </c>
      <c r="D46" s="151">
        <f t="shared" si="40"/>
        <v>0.34573066790640011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3.365709185585497E-2</v>
      </c>
      <c r="D48" s="267">
        <f t="shared" si="41"/>
        <v>3.3500558671437648E-2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7.8119566522421288E-2</v>
      </c>
      <c r="D53" s="154">
        <f t="shared" si="45"/>
        <v>8.3893227650685201E-2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1.8057287806572251</v>
      </c>
      <c r="D55" s="151">
        <f t="shared" si="47"/>
        <v>1.259769908860003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0.34157951783076318</v>
      </c>
      <c r="D58" s="269">
        <f t="shared" si="49"/>
        <v>0.31198037271867302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0.12174359837829736</v>
      </c>
      <c r="D59" s="269">
        <f t="shared" si="50"/>
        <v>0.13805846847303993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2778976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2648821</v>
      </c>
      <c r="K3" s="24"/>
    </row>
    <row r="4" spans="1:11" ht="15" customHeight="1" x14ac:dyDescent="0.4">
      <c r="B4" s="3" t="s">
        <v>22</v>
      </c>
      <c r="C4" s="86"/>
      <c r="D4" s="196">
        <f>Inputs!C42</f>
        <v>130155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-31258446</v>
      </c>
      <c r="E6" s="56">
        <f>1-D6/D3</f>
        <v>12.248188541390785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31128291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31128291</v>
      </c>
      <c r="J48" s="8"/>
    </row>
    <row r="49" spans="2:11" ht="15" customHeight="1" thickTop="1" x14ac:dyDescent="0.4">
      <c r="B49" s="3" t="s">
        <v>13</v>
      </c>
      <c r="C49" s="61">
        <f>Inputs!C41+Inputs!C37</f>
        <v>33907267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31128291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130155</v>
      </c>
      <c r="D53" s="29">
        <f>IF(E53=0, 0,E53/C53)</f>
        <v>1</v>
      </c>
      <c r="E53" s="87">
        <f>IF(C53=0,0,MAX(C53,C53*Dashboard!G23))</f>
        <v>130155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33907267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31128291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2778976</v>
      </c>
      <c r="D70" s="29">
        <f t="shared" si="2"/>
        <v>-11.201352944393907</v>
      </c>
      <c r="E70" s="68">
        <f>E68-E69</f>
        <v>-31128291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1141220</v>
      </c>
      <c r="D74" s="204"/>
      <c r="E74" s="233">
        <f>Inputs!E91</f>
        <v>1141220</v>
      </c>
      <c r="F74" s="204"/>
      <c r="H74" s="233">
        <f>Inputs!F91</f>
        <v>1141220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13504</v>
      </c>
      <c r="D75" s="156">
        <f>C75/$C$74</f>
        <v>1.1832950701880444E-2</v>
      </c>
      <c r="E75" s="233">
        <f>Inputs!E92</f>
        <v>13504</v>
      </c>
      <c r="F75" s="157">
        <f>E75/E74</f>
        <v>1.1832950701880444E-2</v>
      </c>
      <c r="H75" s="233">
        <f>Inputs!F92</f>
        <v>13504</v>
      </c>
      <c r="I75" s="157">
        <f>H75/$H$74</f>
        <v>1.1832950701880444E-2</v>
      </c>
      <c r="K75" s="24"/>
    </row>
    <row r="76" spans="1:11" ht="15" customHeight="1" x14ac:dyDescent="0.4">
      <c r="B76" s="35" t="s">
        <v>91</v>
      </c>
      <c r="C76" s="158">
        <f>C74-C75</f>
        <v>1127716</v>
      </c>
      <c r="D76" s="205"/>
      <c r="E76" s="159">
        <f>E74-E75</f>
        <v>1127716</v>
      </c>
      <c r="F76" s="205"/>
      <c r="H76" s="159">
        <f>H74-H75</f>
        <v>1127716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222933</v>
      </c>
      <c r="D77" s="156">
        <f>C77/$C$74</f>
        <v>0.19534620844359546</v>
      </c>
      <c r="E77" s="233">
        <f>Inputs!E93</f>
        <v>222933</v>
      </c>
      <c r="F77" s="157">
        <f>E77/E74</f>
        <v>0.19534620844359546</v>
      </c>
      <c r="H77" s="233">
        <f>Inputs!F93</f>
        <v>222933</v>
      </c>
      <c r="I77" s="157">
        <f>H77/$H$74</f>
        <v>0.19534620844359546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904783</v>
      </c>
      <c r="D79" s="253">
        <f>C79/C74</f>
        <v>0.79282084085452409</v>
      </c>
      <c r="E79" s="254">
        <f>E76-E77-E78</f>
        <v>904783</v>
      </c>
      <c r="F79" s="253">
        <f>E79/E74</f>
        <v>0.79282084085452409</v>
      </c>
      <c r="G79" s="255"/>
      <c r="H79" s="254">
        <f>H76-H77-H78</f>
        <v>904783</v>
      </c>
      <c r="I79" s="253">
        <f>H79/H74</f>
        <v>0.79282084085452409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582306</v>
      </c>
      <c r="D81" s="156">
        <f>C81/$C$74</f>
        <v>0.51024868123587042</v>
      </c>
      <c r="E81" s="177">
        <f>E74*F81</f>
        <v>582306</v>
      </c>
      <c r="F81" s="157">
        <f>I81</f>
        <v>0.51024868123587042</v>
      </c>
      <c r="H81" s="233">
        <f>Inputs!F94</f>
        <v>582306</v>
      </c>
      <c r="I81" s="157">
        <f>H81/$H$74</f>
        <v>0.51024868123587042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322477</v>
      </c>
      <c r="D83" s="161">
        <f>C83/$C$74</f>
        <v>0.28257215961865373</v>
      </c>
      <c r="E83" s="162">
        <f>E79-E81-E82-E80</f>
        <v>322477</v>
      </c>
      <c r="F83" s="161">
        <f>E83/E74</f>
        <v>0.28257215961865373</v>
      </c>
      <c r="H83" s="162">
        <f>H79-H81-H82-H80</f>
        <v>322477</v>
      </c>
      <c r="I83" s="161">
        <f>H83/$H$74</f>
        <v>0.28257215961865373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241857.75</v>
      </c>
      <c r="D85" s="253">
        <f>C85/$C$74</f>
        <v>0.21192911971399028</v>
      </c>
      <c r="E85" s="259">
        <f>E83*(1-F84)</f>
        <v>241857.75</v>
      </c>
      <c r="F85" s="253">
        <f>E85/E74</f>
        <v>0.21192911971399028</v>
      </c>
      <c r="G85" s="255"/>
      <c r="H85" s="259">
        <f>H83*(1-I84)</f>
        <v>241857.75</v>
      </c>
      <c r="I85" s="253">
        <f>H85/$H$74</f>
        <v>0.21192911971399028</v>
      </c>
      <c r="K85" s="24"/>
    </row>
    <row r="86" spans="1:11" ht="15" customHeight="1" x14ac:dyDescent="0.4">
      <c r="B86" s="86" t="s">
        <v>151</v>
      </c>
      <c r="C86" s="164">
        <f>C85*Data!C4/Common_Shares</f>
        <v>0.82156175356471772</v>
      </c>
      <c r="D86" s="204"/>
      <c r="E86" s="165">
        <f>E85*Data!C4/Common_Shares</f>
        <v>0.82156175356471772</v>
      </c>
      <c r="F86" s="204"/>
      <c r="H86" s="165">
        <f>H85*Data!C4/Common_Shares</f>
        <v>0.82156175356471772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0.23028886137174531</v>
      </c>
      <c r="D87" s="204"/>
      <c r="E87" s="257">
        <f>E86*Exchange_Rate/Dashboard!G3</f>
        <v>0.23028886137174531</v>
      </c>
      <c r="F87" s="204"/>
      <c r="H87" s="257">
        <f>H86*Exchange_Rate/Dashboard!G3</f>
        <v>0.23028886137174531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0.2364</v>
      </c>
      <c r="D88" s="163">
        <f>C88/C86</f>
        <v>0.2877446509337509</v>
      </c>
      <c r="E88" s="167">
        <f>Inputs!E98</f>
        <v>0.3</v>
      </c>
      <c r="F88" s="163">
        <f>E88/E86</f>
        <v>0.36515818646415088</v>
      </c>
      <c r="H88" s="167">
        <f>Inputs!F98</f>
        <v>0.3</v>
      </c>
      <c r="I88" s="163">
        <f>H88/H86</f>
        <v>0.36515818646415088</v>
      </c>
      <c r="K88" s="24"/>
    </row>
    <row r="89" spans="1:11" ht="15" customHeight="1" x14ac:dyDescent="0.4">
      <c r="B89" s="86" t="s">
        <v>205</v>
      </c>
      <c r="C89" s="256">
        <f>C88*Exchange_Rate/Dashboard!G3</f>
        <v>6.6264388029343813E-2</v>
      </c>
      <c r="D89" s="204"/>
      <c r="E89" s="256">
        <f>E88*Exchange_Rate/Dashboard!G3</f>
        <v>8.409186298140077E-2</v>
      </c>
      <c r="F89" s="204"/>
      <c r="H89" s="256">
        <f>H88*Exchange_Rate/Dashboard!G3</f>
        <v>8.409186298140077E-2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37.329097130715176</v>
      </c>
      <c r="H93" s="86" t="s">
        <v>194</v>
      </c>
      <c r="I93" s="142">
        <f>FV(H87,D93,0,-(H86/(C93-D94)))*Exchange_Rate</f>
        <v>37.329097130715176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7.241415887562094</v>
      </c>
      <c r="H94" s="86" t="s">
        <v>195</v>
      </c>
      <c r="I94" s="142">
        <f>FV(H89,D93,0,-(H88/(C93-D94)))*Exchange_Rate</f>
        <v>7.241415887562094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5463589.7202281458</v>
      </c>
      <c r="D97" s="208"/>
      <c r="E97" s="121">
        <f>PV(C94,D93,0,-F93)</f>
        <v>18.55915864308173</v>
      </c>
      <c r="F97" s="208"/>
      <c r="H97" s="121">
        <f>PV(C94,D93,0,-I93)</f>
        <v>18.55915864308173</v>
      </c>
      <c r="I97" s="121">
        <f>PV(C93,D93,0,-I93)</f>
        <v>24.68303383851347</v>
      </c>
      <c r="K97" s="24"/>
    </row>
    <row r="98" spans="2:11" ht="15" customHeight="1" x14ac:dyDescent="0.4">
      <c r="B98" s="28" t="s">
        <v>138</v>
      </c>
      <c r="C98" s="90">
        <f>-E53*Exchange_Rate</f>
        <v>-139001.20061457157</v>
      </c>
      <c r="D98" s="208"/>
      <c r="E98" s="208"/>
      <c r="F98" s="208"/>
      <c r="H98" s="121">
        <f>C98*Data!$C$4/Common_Shares</f>
        <v>-0.47217039819690926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5324588.5196135743</v>
      </c>
      <c r="D100" s="108">
        <f>MIN(F100*(1-C94),E100)</f>
        <v>15.373940008152099</v>
      </c>
      <c r="E100" s="108">
        <f>MAX(E97+H98+E99,0)</f>
        <v>18.086988244884822</v>
      </c>
      <c r="F100" s="108">
        <f>(E100+H100)/2</f>
        <v>18.086988244884822</v>
      </c>
      <c r="H100" s="108">
        <f>MAX(C100*Data!$C$4/Common_Shares,0)</f>
        <v>18.086988244884822</v>
      </c>
      <c r="I100" s="108">
        <f>MAX(I97+H98+H99,0)</f>
        <v>24.210863440316562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1059873.6225695324</v>
      </c>
      <c r="D103" s="108">
        <f>MIN(F103*(1-C94),E103)</f>
        <v>3.0602239834279965</v>
      </c>
      <c r="E103" s="121">
        <f>PV(C94,D93,0,-F94)</f>
        <v>3.60026350991529</v>
      </c>
      <c r="F103" s="108">
        <f>(E103+H103)/2</f>
        <v>3.60026350991529</v>
      </c>
      <c r="H103" s="121">
        <f>PV(C94,D93,0,-I94)</f>
        <v>3.60026350991529</v>
      </c>
      <c r="I103" s="108">
        <f>PV(C93,D93,0,-I94)</f>
        <v>4.7882249272076027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3192231.0710915532</v>
      </c>
      <c r="D106" s="108">
        <f>(D100+D103)/2</f>
        <v>9.2170819957900481</v>
      </c>
      <c r="E106" s="121">
        <f>(E100+E103)/2</f>
        <v>10.843625877400056</v>
      </c>
      <c r="F106" s="108">
        <f>(F100+F103)/2</f>
        <v>10.843625877400056</v>
      </c>
      <c r="H106" s="121">
        <f>(H100+H103)/2</f>
        <v>10.843625877400056</v>
      </c>
      <c r="I106" s="121">
        <f>(I100+I103)/2</f>
        <v>14.499544183762083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