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9FB9BB1-3CD6-420F-99A6-3E3F6A587A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B47" i="4"/>
  <c r="C49" i="3"/>
  <c r="E56" i="2"/>
  <c r="I56" i="2"/>
  <c r="M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5" i="4" l="1"/>
  <c r="F96" i="4"/>
  <c r="E92" i="4"/>
  <c r="F97" i="4"/>
  <c r="H56" i="2"/>
  <c r="J27" i="2"/>
  <c r="G56" i="2"/>
  <c r="F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D54" i="2" l="1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<sst xmlns="http://schemas.openxmlformats.org/spreadsheetml/2006/main" count="391" uniqueCount="272">
  <si>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</si>
  <si>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</si>
  <si>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</si>
  <si>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</si>
  <si>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</si>
  <si>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</si>
  <si>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</si>
  <si>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</si>
  <si>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</si>
  <si>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</si>
  <si>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</si>
  <si>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</si>
  <si>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</si>
  <si>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</si>
  <si>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</si>
  <si>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</si>
  <si>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</si>
  <si>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</si>
  <si>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</si>
  <si>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</si>
  <si>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</si>
  <si>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</si>
  <si>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</si>
  <si>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</si>
  <si>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</si>
  <si>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</si>
  <si>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</si>
  <si>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</si>
  <si>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</si>
  <si>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</si>
  <si>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</si>
  <si>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</si>
  <si>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</si>
  <si>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</si>
  <si>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</si>
  <si>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</si>
  <si>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</si>
  <si>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</si>
  <si>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</si>
  <si>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</si>
  <si>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</si>
  <si>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</si>
  <si>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</si>
  <si>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</si>
  <si>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</si>
  <si>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</si>
  <si>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</si>
  <si>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</si>
  <si>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</si>
  <si>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</si>
  <si>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</si>
  <si>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</si>
  <si>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</si>
  <si>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</si>
  <si>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</si>
  <si>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</si>
  <si>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</si>
  <si>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</si>
  <si>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</si>
  <si>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</si>
  <si>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</si>
  <si>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</si>
  <si>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</si>
  <si>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</si>
  <si>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</si>
  <si>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</si>
  <si>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</si>
  <si>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</si>
  <si>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</si>
  <si>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</si>
  <si>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</si>
  <si>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</si>
  <si>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</si>
  <si>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</si>
  <si>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</si>
  <si>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</si>
  <si>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</si>
  <si>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</si>
  <si>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</si>
  <si>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</si>
  <si>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</si>
  <si>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</si>
  <si>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</si>
  <si>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</si>
  <si>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</si>
  <si>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</si>
  <si>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</si>
  <si>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</si>
  <si>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</si>
  <si>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</si>
  <si>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</si>
  <si>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</si>
  <si>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</si>
  <si>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</si>
  <si>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</si>
  <si>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</si>
  <si>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</si>
  <si>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</si>
  <si>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</si>
  <si>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</si>
  <si>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</si>
  <si>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</si>
  <si>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</si>
  <si>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</si>
  <si>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</si>
  <si>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</si>
  <si>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</si>
  <si>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</si>
  <si>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</si>
  <si>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</si>
  <si>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</si>
  <si>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</si>
  <si>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</si>
  <si>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</si>
  <si>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</si>
  <si>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</si>
  <si>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</si>
  <si>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</si>
  <si>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</si>
  <si>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</si>
  <si>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</si>
  <si>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</si>
  <si>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</si>
  <si>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</si>
  <si>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</si>
  <si>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</si>
  <si>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</si>
  <si>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</si>
  <si>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</si>
  <si>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</si>
  <si>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</si>
  <si>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</si>
  <si>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</si>
  <si>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</si>
  <si>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</si>
  <si>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</si>
  <si>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</si>
  <si>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</si>
  <si>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</si>
  <si>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</si>
  <si>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</si>
  <si>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</si>
  <si>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</si>
  <si>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</si>
  <si>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</si>
  <si>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</si>
  <si>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</si>
  <si>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</si>
  <si>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</si>
  <si>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</si>
  <si>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</si>
  <si>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</si>
  <si>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</si>
  <si>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</si>
  <si>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</si>
  <si>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</si>
  <si>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</si>
  <si>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</si>
  <si>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</si>
  <si>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</si>
  <si>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</si>
  <si>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</si>
  <si>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</si>
  <si>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</si>
  <si>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</si>
  <si>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</si>
  <si>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</si>
  <si>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</si>
  <si>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</si>
  <si>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</si>
  <si>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</si>
  <si>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</si>
  <si>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</si>
  <si>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</si>
  <si>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</si>
  <si>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</si>
  <si>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</si>
  <si>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</si>
  <si>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</si>
  <si>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</si>
  <si>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</si>
  <si>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</si>
  <si>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</si>
  <si>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</si>
  <si>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</si>
  <si>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</si>
  <si>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</si>
  <si>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</si>
  <si>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</si>
  <si>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</si>
  <si>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</si>
  <si>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</si>
  <si>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</si>
  <si>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</si>
  <si>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</si>
  <si>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</si>
  <si>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</si>
  <si>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</si>
  <si>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</si>
  <si>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</si>
  <si>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</si>
  <si>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</si>
  <si>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</si>
  <si>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</si>
  <si>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</si>
  <si>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</si>
  <si>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</si>
  <si>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</si>
  <si>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</si>
  <si>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</si>
  <si>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</si>
  <si>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</si>
  <si>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</si>
  <si>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</si>
  <si>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</si>
  <si>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</si>
  <si>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</si>
  <si>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</si>
  <si>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</si>
  <si>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</si>
  <si>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</si>
  <si>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</si>
  <si>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</si>
  <si>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</si>
  <si>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</si>
  <si>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</si>
  <si>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</si>
  <si>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</si>
  <si>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</si>
  <si>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</si>
  <si>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</si>
  <si>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</si>
  <si>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</si>
  <si>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</si>
  <si>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</si>
  <si>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</si>
  <si>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</si>
  <si>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</si>
  <si>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</si>
  <si>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</si>
  <si>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</si>
  <si>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</si>
  <si>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</si>
  <si>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</si>
  <si>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</si>
  <si>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</si>
  <si>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</si>
  <si>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</si>
  <si>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</si>
  <si>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</si>
  <si>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</si>
  <si>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</si>
  <si>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</si>
  <si>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</si>
  <si>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</si>
  <si>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</si>
  <si>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</si>
  <si>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</si>
  <si>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</si>
  <si>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</si>
  <si>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</si>
  <si>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</si>
  <si>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</si>
  <si>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</si>
  <si>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</si>
  <si>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</si>
  <si>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</si>
  <si>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6181.HK</t>
  </si>
  <si>
    <t>老鋪黃金</t>
  </si>
  <si>
    <t>CNY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</si>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</sst>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267</v>
      </c>
    </row>
    <row r="5" spans="1:5" ht="13.9" x14ac:dyDescent="0.4">
      <c r="B5" s="139" t="s">
        <v>180</v>
      </c>
      <c r="C5" s="188" t="s">
        <v>268</v>
      </c>
    </row>
    <row r="6" spans="1:5" ht="13.9" x14ac:dyDescent="0.4">
      <c r="B6" s="139" t="s">
        <v>154</v>
      </c>
      <c r="C6" s="186">
        <v>45593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227</v>
      </c>
    </row>
    <row r="10" spans="1:5" ht="13.9" x14ac:dyDescent="0.4">
      <c r="B10" s="138" t="s">
        <v>202</v>
      </c>
      <c r="C10" s="190">
        <v>168366700</v>
      </c>
    </row>
    <row r="11" spans="1:5" ht="13.9" x14ac:dyDescent="0.4">
      <c r="B11" s="138" t="s">
        <v>203</v>
      </c>
      <c r="C11" s="189" t="s">
        <v>269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</row>
    <row r="17" spans="2:13" ht="13.9" x14ac:dyDescent="0.4">
      <c r="B17" s="235" t="s">
        <v>208</v>
      </c>
      <c r="C17" s="237" t="s">
        <v>228</v>
      </c>
      <c r="D17" s="24"/>
    </row>
    <row r="18" spans="2:13" ht="13.9" x14ac:dyDescent="0.4">
      <c r="B18" s="235" t="s">
        <v>222</v>
      </c>
      <c r="C18" s="237" t="s">
        <v>228</v>
      </c>
      <c r="D18" s="24"/>
    </row>
    <row r="19" spans="2:13" ht="13.9" x14ac:dyDescent="0.4">
      <c r="B19" s="235" t="s">
        <v>223</v>
      </c>
      <c r="C19" s="237" t="s">
        <v>228</v>
      </c>
      <c r="D19" s="24"/>
    </row>
    <row r="20" spans="2:13" ht="13.9" x14ac:dyDescent="0.4">
      <c r="B20" s="236" t="s">
        <v>212</v>
      </c>
      <c r="C20" s="237" t="s">
        <v>228</v>
      </c>
      <c r="D20" s="24"/>
    </row>
    <row r="21" spans="2:13" ht="13.9" x14ac:dyDescent="0.4">
      <c r="B21" s="219" t="s">
        <v>215</v>
      </c>
      <c r="C21" s="237" t="s">
        <v>228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3179564</v>
      </c>
      <c r="D25" s="147">
        <v>1294220</v>
      </c>
      <c r="E25" s="147">
        <v>1264603</v>
      </c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1847607</v>
      </c>
      <c r="D26" s="148">
        <v>752082</v>
      </c>
      <c r="E26" s="148">
        <v>743602</v>
      </c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746918</v>
      </c>
      <c r="D27" s="148">
        <v>391294</v>
      </c>
      <c r="E27" s="148">
        <v>351556</v>
      </c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10720</v>
      </c>
      <c r="D28" s="148">
        <v>8525</v>
      </c>
      <c r="E28" s="148">
        <v>8411</v>
      </c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18182</v>
      </c>
      <c r="D29" s="148">
        <v>16973</v>
      </c>
      <c r="E29" s="148">
        <v>11671</v>
      </c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>
        <v>0</v>
      </c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 t="str">
        <f>IF(C44="","",C44*Exchange_Rate/Dashboard!$G$3)</f>
        <v/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270</v>
      </c>
      <c r="D87" s="264">
        <v>0.02</v>
      </c>
    </row>
    <row r="89" spans="2:8" ht="13.5" x14ac:dyDescent="0.35">
      <c r="B89" s="105" t="s">
        <v>121</v>
      </c>
      <c r="C89" s="282">
        <f>C24</f>
        <v>45291</v>
      </c>
      <c r="D89" s="282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3" t="s">
        <v>96</v>
      </c>
      <c r="D90" s="283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3179564</v>
      </c>
      <c r="D91" s="204"/>
      <c r="E91" s="246">
        <f>C91</f>
        <v>3179564</v>
      </c>
      <c r="F91" s="246">
        <f>C91</f>
        <v>3179564</v>
      </c>
    </row>
    <row r="92" spans="2:8" ht="13.9" x14ac:dyDescent="0.4">
      <c r="B92" s="103" t="s">
        <v>101</v>
      </c>
      <c r="C92" s="77">
        <f>C26</f>
        <v>1847607</v>
      </c>
      <c r="D92" s="156">
        <f>C92/C91</f>
        <v>0.58108816177312361</v>
      </c>
      <c r="E92" s="247">
        <f>E91*D92</f>
        <v>1847607</v>
      </c>
      <c r="F92" s="247">
        <f>F91*D92</f>
        <v>1847607</v>
      </c>
    </row>
    <row r="93" spans="2:8" ht="13.9" x14ac:dyDescent="0.4">
      <c r="B93" s="103" t="s">
        <v>230</v>
      </c>
      <c r="C93" s="77">
        <f>C27+C28</f>
        <v>757638</v>
      </c>
      <c r="D93" s="156">
        <f>C93/C91</f>
        <v>0.23828361372817153</v>
      </c>
      <c r="E93" s="247">
        <f>E91*D93</f>
        <v>757638</v>
      </c>
      <c r="F93" s="247">
        <f>F91*D93</f>
        <v>757638</v>
      </c>
    </row>
    <row r="94" spans="2:8" ht="13.9" x14ac:dyDescent="0.4">
      <c r="B94" s="103" t="s">
        <v>237</v>
      </c>
      <c r="C94" s="77">
        <f>C29</f>
        <v>18182</v>
      </c>
      <c r="D94" s="156">
        <f>C94/C91</f>
        <v>5.7183940942846252E-3</v>
      </c>
      <c r="E94" s="248"/>
      <c r="F94" s="247">
        <f>F91*D94</f>
        <v>18182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</v>
      </c>
      <c r="D98" s="261"/>
      <c r="E98" s="249">
        <f>F98</f>
        <v>0</v>
      </c>
      <c r="F98" s="249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6181.HK : 老鋪黃金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88" t="str">
        <f>Inputs!C4</f>
        <v>6181.HK</v>
      </c>
      <c r="D3" s="289"/>
      <c r="E3" s="86"/>
      <c r="F3" s="3" t="s">
        <v>1</v>
      </c>
      <c r="G3" s="130">
        <v>234.8</v>
      </c>
      <c r="H3" s="132" t="s">
        <v>271</v>
      </c>
    </row>
    <row r="4" spans="1:10" ht="15.75" customHeight="1" x14ac:dyDescent="0.4">
      <c r="B4" s="35" t="s">
        <v>180</v>
      </c>
      <c r="C4" s="290" t="str">
        <f>Inputs!C5</f>
        <v>老鋪黃金</v>
      </c>
      <c r="D4" s="291"/>
      <c r="E4" s="86"/>
      <c r="F4" s="3" t="s">
        <v>2</v>
      </c>
      <c r="G4" s="294">
        <f>Inputs!C10</f>
        <v>168366700</v>
      </c>
      <c r="H4" s="294"/>
      <c r="I4" s="39"/>
    </row>
    <row r="5" spans="1:10" ht="15.75" customHeight="1" x14ac:dyDescent="0.4">
      <c r="B5" s="3" t="s">
        <v>154</v>
      </c>
      <c r="C5" s="292">
        <f>Inputs!C6</f>
        <v>45593</v>
      </c>
      <c r="D5" s="293"/>
      <c r="E5" s="34"/>
      <c r="F5" s="35" t="s">
        <v>95</v>
      </c>
      <c r="G5" s="286">
        <f>G3*G4/1000000</f>
        <v>39532.50116</v>
      </c>
      <c r="H5" s="286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7" t="str">
        <f>Inputs!C11</f>
        <v>CNY</v>
      </c>
      <c r="H6" s="287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C0003</v>
      </c>
      <c r="E7" s="86"/>
      <c r="F7" s="35" t="s">
        <v>5</v>
      </c>
      <c r="G7" s="131">
        <v>1.0679666598637898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C23*C22*(1/C21)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247</v>
      </c>
      <c r="C21" s="273" t="e">
        <f>Data!C53</f>
        <v>#DIV/0!</v>
      </c>
      <c r="F21" s="86"/>
      <c r="G21" s="29"/>
    </row>
    <row r="22" spans="1:8" ht="15.75" customHeight="1" x14ac:dyDescent="0.4">
      <c r="B22" s="274" t="s">
        <v>261</v>
      </c>
      <c r="C22" s="275" t="e">
        <f>Data!C48</f>
        <v>#DIV/0!</v>
      </c>
      <c r="F22" s="140" t="s">
        <v>170</v>
      </c>
    </row>
    <row r="23" spans="1:8" ht="15.75" customHeight="1" thickBot="1" x14ac:dyDescent="0.45">
      <c r="B23" s="276" t="s">
        <v>254</v>
      </c>
      <c r="C23" s="277">
        <f>Data!C13</f>
        <v>0.18062822449870486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135" t="s">
        <v>255</v>
      </c>
      <c r="C24" s="168">
        <f>Fin_Analysis!I81</f>
        <v>5.7183940942846252E-3</v>
      </c>
      <c r="F24" s="138" t="s">
        <v>240</v>
      </c>
      <c r="G24" s="263">
        <f>G3/(Fin_Analysis!H86*G7)</f>
        <v>88.746972022876164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4" t="s">
        <v>238</v>
      </c>
      <c r="H28" s="284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0</v>
      </c>
      <c r="D29" s="127">
        <f>G29*(1+G20)</f>
        <v>0</v>
      </c>
      <c r="E29" s="86"/>
      <c r="F29" s="129">
        <f>IF(Fin_Analysis!C108="Profit",Fin_Analysis!F100,IF(Fin_Analysis!C108="Dividend",Fin_Analysis!F103,Fin_Analysis!F106))</f>
        <v>0</v>
      </c>
      <c r="G29" s="285">
        <f>IF(Fin_Analysis!C108="Profit",Fin_Analysis!I100,IF(Fin_Analysis!C108="Dividend",Fin_Analysis!I103,Fin_Analysis!I106))</f>
        <v>0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574319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3179564</v>
      </c>
      <c r="D6" s="197">
        <f>IF(Inputs!D25="","",Inputs!D25)</f>
        <v>1294220</v>
      </c>
      <c r="E6" s="197">
        <f>IF(Inputs!E25="","",Inputs!E25)</f>
        <v>1264603</v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1.4567415122622118</v>
      </c>
      <c r="D7" s="91">
        <f t="shared" si="1"/>
        <v>2.3419998212877768E-2</v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1847607</v>
      </c>
      <c r="D8" s="196">
        <f>IF(Inputs!D26="","",Inputs!D26)</f>
        <v>752082</v>
      </c>
      <c r="E8" s="196">
        <f>IF(Inputs!E26="","",Inputs!E26)</f>
        <v>743602</v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1331957</v>
      </c>
      <c r="D9" s="149">
        <f t="shared" si="2"/>
        <v>542138</v>
      </c>
      <c r="E9" s="149">
        <f t="shared" si="2"/>
        <v>521001</v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746918</v>
      </c>
      <c r="D10" s="196">
        <f>IF(Inputs!D27="","",Inputs!D27)</f>
        <v>391294</v>
      </c>
      <c r="E10" s="196">
        <f>IF(Inputs!E27="","",Inputs!E27)</f>
        <v>351556</v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10720</v>
      </c>
      <c r="D11" s="196">
        <f>IF(Inputs!D28="","",Inputs!D28)</f>
        <v>8525</v>
      </c>
      <c r="E11" s="196">
        <f>IF(Inputs!E28="","",Inputs!E28)</f>
        <v>8411</v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>
        <f>IF(Inputs!E30="","",MAX(Inputs!E30,0)/(1-Fin_Analysis!$I$84))</f>
        <v>0</v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0.18062822449870486</v>
      </c>
      <c r="D13" s="224">
        <f t="shared" si="3"/>
        <v>0.10996507548948402</v>
      </c>
      <c r="E13" s="224">
        <f t="shared" si="3"/>
        <v>0.12733956822813167</v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574319</v>
      </c>
      <c r="D14" s="225">
        <f t="shared" ref="D14:M14" si="4">IF(D6="","",D9-D10-MAX(D11,0)-MAX(D12,0))</f>
        <v>142319</v>
      </c>
      <c r="E14" s="225">
        <f t="shared" si="4"/>
        <v>161034</v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3.0354344816925356</v>
      </c>
      <c r="D15" s="227">
        <f t="shared" ref="D15:M15" si="5">IF(E14="","",IF(ABS(D14+E14)=ABS(D14)+ABS(E14),IF(D14&lt;0,-1,1)*(D14-E14)/E14,"Turn"))</f>
        <v>-0.11621769315796664</v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18182</v>
      </c>
      <c r="D17" s="196">
        <f>IF(Inputs!D29="","",Inputs!D29)</f>
        <v>16973</v>
      </c>
      <c r="E17" s="196">
        <f>IF(Inputs!E29="","",Inputs!E29)</f>
        <v>11671</v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556137</v>
      </c>
      <c r="D22" s="158">
        <f t="shared" ref="D22:M22" si="8">IF(D6="","",D14-MAX(D16,0)-MAX(D17,0)-ABS(MAX(D21,0)-MAX(D19,0)))</f>
        <v>125346</v>
      </c>
      <c r="E22" s="158">
        <f t="shared" si="8"/>
        <v>149363</v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0.13118237280331518</v>
      </c>
      <c r="D23" s="151">
        <f t="shared" si="9"/>
        <v>7.2637959543199765E-2</v>
      </c>
      <c r="E23" s="151">
        <f t="shared" si="9"/>
        <v>8.8582938677197506E-2</v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417102.75</v>
      </c>
      <c r="D24" s="77">
        <f>IF(D6="","",D22*(1-Fin_Analysis!$I$84))</f>
        <v>94009.5</v>
      </c>
      <c r="E24" s="77">
        <f>IF(E6="","",E22*(1-Fin_Analysis!$I$84))</f>
        <v>112022.25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3.4368148963668563</v>
      </c>
      <c r="D25" s="228">
        <f t="shared" ref="D25:M25" si="10">IF(E24="","",IF(ABS(D24+E24)=ABS(D24)+ABS(E24),IF(D24&lt;0,-1,1)*(D24-E24)/E24,"Turn"))</f>
        <v>-0.16079618111580513</v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0.58108816177312361</v>
      </c>
      <c r="D40" s="154">
        <f t="shared" si="34"/>
        <v>0.58110831234256932</v>
      </c>
      <c r="E40" s="154">
        <f t="shared" si="34"/>
        <v>0.58801220620226269</v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0.23828361372817153</v>
      </c>
      <c r="D41" s="151">
        <f t="shared" si="35"/>
        <v>0.3089266121679467</v>
      </c>
      <c r="E41" s="151">
        <f t="shared" si="35"/>
        <v>0.28464822556960562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5.7183940942846252E-3</v>
      </c>
      <c r="D43" s="151">
        <f t="shared" si="37"/>
        <v>1.311446276521766E-2</v>
      </c>
      <c r="E43" s="151">
        <f t="shared" si="37"/>
        <v>9.2289833252016638E-3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0.17490983040442024</v>
      </c>
      <c r="D46" s="151">
        <f t="shared" si="40"/>
        <v>9.6850612724266358E-2</v>
      </c>
      <c r="E46" s="151">
        <f t="shared" si="40"/>
        <v>0.11811058490293001</v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8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3.2693383105242051E-2</v>
      </c>
      <c r="D55" s="151">
        <f t="shared" si="47"/>
        <v>0.13540918736936161</v>
      </c>
      <c r="E55" s="151">
        <f t="shared" si="47"/>
        <v>7.8138494807951098E-2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80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81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9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5">
        <f>I15+I34</f>
        <v>0</v>
      </c>
      <c r="E56" s="293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4">
        <f>Inputs!C84</f>
        <v>0</v>
      </c>
      <c r="E57" s="293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2">
        <f>Data!C5</f>
        <v>45291</v>
      </c>
      <c r="D72" s="282"/>
      <c r="E72" s="296" t="s">
        <v>191</v>
      </c>
      <c r="F72" s="296"/>
      <c r="H72" s="296" t="s">
        <v>190</v>
      </c>
      <c r="I72" s="296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3" t="s">
        <v>96</v>
      </c>
      <c r="D73" s="283"/>
      <c r="E73" s="297" t="s">
        <v>97</v>
      </c>
      <c r="F73" s="283"/>
      <c r="H73" s="297" t="s">
        <v>97</v>
      </c>
      <c r="I73" s="283"/>
      <c r="K73" s="24"/>
    </row>
    <row r="74" spans="1:11" ht="15" customHeight="1" x14ac:dyDescent="0.4">
      <c r="B74" s="3" t="s">
        <v>120</v>
      </c>
      <c r="C74" s="77">
        <f>Data!C6</f>
        <v>3179564</v>
      </c>
      <c r="D74" s="204"/>
      <c r="E74" s="233">
        <f>Inputs!E91</f>
        <v>3179564</v>
      </c>
      <c r="F74" s="204"/>
      <c r="H74" s="233">
        <f>Inputs!F91</f>
        <v>3179564</v>
      </c>
      <c r="I74" s="204"/>
      <c r="K74" s="24"/>
    </row>
    <row r="75" spans="1:11" ht="15" customHeight="1" x14ac:dyDescent="0.4">
      <c r="B75" s="103" t="s">
        <v>101</v>
      </c>
      <c r="C75" s="77">
        <f>Data!C8</f>
        <v>1847607</v>
      </c>
      <c r="D75" s="156">
        <f>C75/$C$74</f>
        <v>0.58108816177312361</v>
      </c>
      <c r="E75" s="233">
        <f>Inputs!E92</f>
        <v>1847607</v>
      </c>
      <c r="F75" s="157">
        <f>E75/E74</f>
        <v>0.58108816177312361</v>
      </c>
      <c r="H75" s="233">
        <f>Inputs!F92</f>
        <v>1847607</v>
      </c>
      <c r="I75" s="157">
        <f>H75/$H$74</f>
        <v>0.58108816177312361</v>
      </c>
      <c r="K75" s="24"/>
    </row>
    <row r="76" spans="1:11" ht="15" customHeight="1" x14ac:dyDescent="0.4">
      <c r="B76" s="35" t="s">
        <v>91</v>
      </c>
      <c r="C76" s="158">
        <f>C74-C75</f>
        <v>1331957</v>
      </c>
      <c r="D76" s="205"/>
      <c r="E76" s="159">
        <f>E74-E75</f>
        <v>1331957</v>
      </c>
      <c r="F76" s="205"/>
      <c r="H76" s="159">
        <f>H74-H75</f>
        <v>1331957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757638</v>
      </c>
      <c r="D77" s="156">
        <f>C77/$C$74</f>
        <v>0.23828361372817153</v>
      </c>
      <c r="E77" s="233">
        <f>Inputs!E93</f>
        <v>757638</v>
      </c>
      <c r="F77" s="157">
        <f>E77/E74</f>
        <v>0.23828361372817153</v>
      </c>
      <c r="H77" s="233">
        <f>Inputs!F93</f>
        <v>757638</v>
      </c>
      <c r="I77" s="157">
        <f>H77/$H$74</f>
        <v>0.23828361372817153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574319</v>
      </c>
      <c r="D79" s="253">
        <f>C79/C74</f>
        <v>0.18062822449870486</v>
      </c>
      <c r="E79" s="254">
        <f>E76-E77-E78</f>
        <v>574319</v>
      </c>
      <c r="F79" s="253">
        <f>E79/E74</f>
        <v>0.18062822449870486</v>
      </c>
      <c r="G79" s="255"/>
      <c r="H79" s="254">
        <f>H76-H77-H78</f>
        <v>574319</v>
      </c>
      <c r="I79" s="253">
        <f>H79/H74</f>
        <v>0.18062822449870486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18182</v>
      </c>
      <c r="D81" s="156">
        <f>C81/$C$74</f>
        <v>5.7183940942846252E-3</v>
      </c>
      <c r="E81" s="177">
        <f>E74*F81</f>
        <v>18182</v>
      </c>
      <c r="F81" s="157">
        <f>I81</f>
        <v>5.7183940942846252E-3</v>
      </c>
      <c r="H81" s="233">
        <f>Inputs!F94</f>
        <v>18182</v>
      </c>
      <c r="I81" s="157">
        <f>H81/$H$74</f>
        <v>5.7183940942846252E-3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556137</v>
      </c>
      <c r="D83" s="161">
        <f>C83/$C$74</f>
        <v>0.17490983040442024</v>
      </c>
      <c r="E83" s="162">
        <f>E79-E81-E82-E80</f>
        <v>556137</v>
      </c>
      <c r="F83" s="161">
        <f>E83/E74</f>
        <v>0.17490983040442024</v>
      </c>
      <c r="H83" s="162">
        <f>H79-H81-H82-H80</f>
        <v>556137</v>
      </c>
      <c r="I83" s="161">
        <f>H83/$H$74</f>
        <v>0.17490983040442024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417102.75</v>
      </c>
      <c r="D85" s="253">
        <f>C85/$C$74</f>
        <v>0.13118237280331518</v>
      </c>
      <c r="E85" s="259">
        <f>E83*(1-F84)</f>
        <v>417102.75</v>
      </c>
      <c r="F85" s="253">
        <f>E85/E74</f>
        <v>0.13118237280331518</v>
      </c>
      <c r="G85" s="255"/>
      <c r="H85" s="259">
        <f>H83*(1-I84)</f>
        <v>417102.75</v>
      </c>
      <c r="I85" s="253">
        <f>H85/$H$74</f>
        <v>0.13118237280331518</v>
      </c>
      <c r="K85" s="24"/>
    </row>
    <row r="86" spans="1:11" ht="15" customHeight="1" x14ac:dyDescent="0.4">
      <c r="B86" s="86" t="s">
        <v>151</v>
      </c>
      <c r="C86" s="164">
        <f>C85*Data!C4/Common_Shares</f>
        <v>2.4773470644729629</v>
      </c>
      <c r="D86" s="204"/>
      <c r="E86" s="165">
        <f>E85*Data!C4/Common_Shares</f>
        <v>2.4773470644729629</v>
      </c>
      <c r="F86" s="204"/>
      <c r="H86" s="165">
        <f>H85*Data!C4/Common_Shares</f>
        <v>2.4773470644729629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1.1267990075675275E-2</v>
      </c>
      <c r="D87" s="204"/>
      <c r="E87" s="257">
        <f>E86*Exchange_Rate/Dashboard!G3</f>
        <v>1.1267990075675275E-2</v>
      </c>
      <c r="F87" s="204"/>
      <c r="H87" s="257">
        <f>H86*Exchange_Rate/Dashboard!G3</f>
        <v>1.1267990075675275E-2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</v>
      </c>
      <c r="D88" s="163">
        <f>C88/C86</f>
        <v>0</v>
      </c>
      <c r="E88" s="167">
        <f>Inputs!E98</f>
        <v>0</v>
      </c>
      <c r="F88" s="163">
        <f>E88/E86</f>
        <v>0</v>
      </c>
      <c r="H88" s="167">
        <f>Inputs!F98</f>
        <v>0</v>
      </c>
      <c r="I88" s="163">
        <f>H88/H86</f>
        <v>0</v>
      </c>
      <c r="K88" s="24"/>
    </row>
    <row r="89" spans="1:11" ht="15" customHeight="1" x14ac:dyDescent="0.4">
      <c r="B89" s="86" t="s">
        <v>205</v>
      </c>
      <c r="C89" s="256">
        <f>C88*Exchange_Rate/Dashboard!G3</f>
        <v>0</v>
      </c>
      <c r="D89" s="204"/>
      <c r="E89" s="256">
        <f>E88*Exchange_Rate/Dashboard!G3</f>
        <v>0</v>
      </c>
      <c r="F89" s="204"/>
      <c r="H89" s="256">
        <f>H88*Exchange_Rate/Dashboard!G3</f>
        <v>0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6" t="s">
        <v>191</v>
      </c>
      <c r="F92" s="296"/>
      <c r="G92" s="86"/>
      <c r="H92" s="296" t="s">
        <v>190</v>
      </c>
      <c r="I92" s="296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46.155568004042379</v>
      </c>
      <c r="H93" s="86" t="s">
        <v>194</v>
      </c>
      <c r="I93" s="142">
        <f>FV(H87,D93,0,-(H86/(C93-D94)))*Exchange_Rate</f>
        <v>46.155568004042379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0</v>
      </c>
      <c r="H94" s="86" t="s">
        <v>195</v>
      </c>
      <c r="I94" s="142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3863590.5744445021</v>
      </c>
      <c r="D97" s="208"/>
      <c r="E97" s="121">
        <f>PV(C94,D93,0,-F93)</f>
        <v>22.947474616087995</v>
      </c>
      <c r="F97" s="208"/>
      <c r="H97" s="121">
        <f>PV(C94,D93,0,-I93)</f>
        <v>22.947474616087995</v>
      </c>
      <c r="I97" s="121">
        <f>PV(C93,D93,0,-I93)</f>
        <v>31.321968380195425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3863590.5744445021</v>
      </c>
      <c r="D100" s="108">
        <f>MIN(F100*(1-C94),E100)</f>
        <v>19.505353423674794</v>
      </c>
      <c r="E100" s="108">
        <f>MAX(E97+H98+E99,0)</f>
        <v>22.947474616087995</v>
      </c>
      <c r="F100" s="108">
        <f>(E100+H100)/2</f>
        <v>22.947474616087995</v>
      </c>
      <c r="H100" s="108">
        <f>MAX(C100*Data!$C$4/Common_Shares,0)</f>
        <v>22.947474616087995</v>
      </c>
      <c r="I100" s="108">
        <f>MAX(I97+H98+H99,0)</f>
        <v>31.321968380195425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0</v>
      </c>
      <c r="D103" s="108">
        <f>MIN(F103*(1-C94),E103)</f>
        <v>0</v>
      </c>
      <c r="E103" s="121">
        <f>PV(C94,D93,0,-F94)</f>
        <v>0</v>
      </c>
      <c r="F103" s="108">
        <f>(E103+H103)/2</f>
        <v>0</v>
      </c>
      <c r="H103" s="121">
        <f>PV(C94,D93,0,-I94)</f>
        <v>0</v>
      </c>
      <c r="I103" s="108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1931795.2872222511</v>
      </c>
      <c r="D106" s="108">
        <f>(D100+D103)/2</f>
        <v>9.7526767118373971</v>
      </c>
      <c r="E106" s="121">
        <f>(E100+E103)/2</f>
        <v>11.473737308043997</v>
      </c>
      <c r="F106" s="108">
        <f>(F100+F103)/2</f>
        <v>11.473737308043997</v>
      </c>
      <c r="H106" s="121">
        <f>(H100+H103)/2</f>
        <v>11.473737308043997</v>
      </c>
      <c r="I106" s="121">
        <f>(I100+I103)/2</f>
        <v>15.660984190097713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