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FEC5D6B-E799-4F9C-AC51-3EE70941B61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B47" i="4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I56" i="2"/>
  <c r="H56" i="2"/>
  <c r="J27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D54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<sst xmlns="http://schemas.openxmlformats.org/spreadsheetml/2006/main" count="391" uniqueCount="275">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</sst>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9067251704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19532203</v>
      </c>
      <c r="D25" s="147">
        <v>21310933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6868850</v>
      </c>
      <c r="D26" s="148">
        <v>7360333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8571978</v>
      </c>
      <c r="D27" s="148">
        <v>8215637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53132</v>
      </c>
      <c r="D29" s="148">
        <v>33640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-99657</v>
      </c>
      <c r="D30" s="148">
        <v>6058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-337926</v>
      </c>
      <c r="D31" s="148">
        <v>827860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630037</v>
      </c>
      <c r="D32" s="148">
        <v>543737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630037</v>
      </c>
      <c r="D33" s="148">
        <v>543737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>
        <v>22554271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v>431184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2258059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8565478</v>
      </c>
      <c r="D37" s="148">
        <v>7382230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>
        <v>2478102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592316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1044096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27043707</v>
      </c>
      <c r="D41" s="148">
        <v>26334346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1426434</v>
      </c>
      <c r="D42" s="148">
        <v>1389487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19968596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0.1484+0.1632</f>
        <v>0.31159999999999999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5.7474682420303437E-2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19073030</v>
      </c>
      <c r="D48" s="60">
        <v>0.9</v>
      </c>
      <c r="E48" s="111"/>
    </row>
    <row r="49" spans="2:5" ht="13.9" x14ac:dyDescent="0.4">
      <c r="B49" s="1" t="s">
        <v>129</v>
      </c>
      <c r="C49" s="59">
        <v>20972</v>
      </c>
      <c r="D49" s="60">
        <v>0.8</v>
      </c>
      <c r="E49" s="111"/>
    </row>
    <row r="50" spans="2:5" ht="13.9" x14ac:dyDescent="0.4">
      <c r="B50" s="3" t="s">
        <v>111</v>
      </c>
      <c r="C50" s="59">
        <v>308472</v>
      </c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>
        <v>854264</v>
      </c>
      <c r="D54" s="60">
        <v>0.1</v>
      </c>
      <c r="E54" s="111"/>
    </row>
    <row r="55" spans="2:5" ht="13.9" x14ac:dyDescent="0.4">
      <c r="B55" s="3" t="s">
        <v>42</v>
      </c>
      <c r="C55" s="59">
        <v>2139247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300000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1800</v>
      </c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113569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45190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9938000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2304520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15244</v>
      </c>
      <c r="D70" s="60">
        <v>0.05</v>
      </c>
      <c r="E70" s="111"/>
    </row>
    <row r="71" spans="2:5" ht="13.9" x14ac:dyDescent="0.4">
      <c r="B71" s="3" t="s">
        <v>70</v>
      </c>
      <c r="C71" s="59">
        <v>382475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112402</v>
      </c>
      <c r="D72" s="243">
        <v>0</v>
      </c>
      <c r="E72" s="244"/>
    </row>
    <row r="73" spans="2:5" ht="13.9" x14ac:dyDescent="0.4">
      <c r="B73" s="3" t="s">
        <v>34</v>
      </c>
      <c r="C73" s="59">
        <v>510909</v>
      </c>
    </row>
    <row r="74" spans="2:5" ht="13.9" x14ac:dyDescent="0.4">
      <c r="B74" s="3" t="s">
        <v>35</v>
      </c>
      <c r="C74" s="59">
        <v>28807</v>
      </c>
    </row>
    <row r="75" spans="2:5" ht="13.9" x14ac:dyDescent="0.4">
      <c r="B75" s="3" t="s">
        <v>36</v>
      </c>
      <c r="C75" s="59">
        <v>0</v>
      </c>
    </row>
    <row r="76" spans="2:5" ht="13.9" x14ac:dyDescent="0.4">
      <c r="B76" s="85" t="s">
        <v>38</v>
      </c>
      <c r="C76" s="118">
        <v>9668</v>
      </c>
    </row>
    <row r="77" spans="2:5" ht="14.25" thickBot="1" x14ac:dyDescent="0.45">
      <c r="B77" s="80" t="s">
        <v>15</v>
      </c>
      <c r="C77" s="82">
        <v>6712617</v>
      </c>
    </row>
    <row r="78" spans="2:5" ht="14.25" thickTop="1" x14ac:dyDescent="0.4">
      <c r="B78" s="3" t="s">
        <v>57</v>
      </c>
      <c r="C78" s="59">
        <v>756896</v>
      </c>
    </row>
    <row r="79" spans="2:5" ht="13.9" x14ac:dyDescent="0.4">
      <c r="B79" s="3" t="s">
        <v>59</v>
      </c>
      <c r="C79" s="59">
        <v>52067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1852861</v>
      </c>
    </row>
    <row r="83" spans="2:8" ht="14.25" hidden="1" thickTop="1" x14ac:dyDescent="0.4">
      <c r="B83" s="73" t="s">
        <v>265</v>
      </c>
      <c r="C83" s="212">
        <v>25617273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19532203</v>
      </c>
      <c r="D91" s="204"/>
      <c r="E91" s="246">
        <f>C91</f>
        <v>19532203</v>
      </c>
      <c r="F91" s="246">
        <f>C91</f>
        <v>19532203</v>
      </c>
    </row>
    <row r="92" spans="2:8" ht="13.9" x14ac:dyDescent="0.4">
      <c r="B92" s="103" t="s">
        <v>101</v>
      </c>
      <c r="C92" s="77">
        <f>C26</f>
        <v>6868850</v>
      </c>
      <c r="D92" s="156">
        <f>C92/C91</f>
        <v>0.35166796085418528</v>
      </c>
      <c r="E92" s="247">
        <f>E91*D92</f>
        <v>6868850</v>
      </c>
      <c r="F92" s="247">
        <f>F91*D92</f>
        <v>6868850</v>
      </c>
    </row>
    <row r="93" spans="2:8" ht="13.9" x14ac:dyDescent="0.4">
      <c r="B93" s="103" t="s">
        <v>229</v>
      </c>
      <c r="C93" s="77">
        <f>C27+C28</f>
        <v>8571978</v>
      </c>
      <c r="D93" s="156">
        <f>C93/C91</f>
        <v>0.43886385985236792</v>
      </c>
      <c r="E93" s="247">
        <f>E91*D93</f>
        <v>8571978</v>
      </c>
      <c r="F93" s="247">
        <f>F91*D93</f>
        <v>8571978</v>
      </c>
    </row>
    <row r="94" spans="2:8" ht="13.9" x14ac:dyDescent="0.4">
      <c r="B94" s="103" t="s">
        <v>237</v>
      </c>
      <c r="C94" s="77">
        <f>C29</f>
        <v>53132</v>
      </c>
      <c r="D94" s="156">
        <f>C94/C91</f>
        <v>2.7202256703967287E-3</v>
      </c>
      <c r="E94" s="248"/>
      <c r="F94" s="247">
        <f>F91*D94</f>
        <v>53131.999999999993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0.31159999999999999</v>
      </c>
      <c r="D98" s="261"/>
      <c r="E98" s="249">
        <f>F98</f>
        <v>0.31159999999999999</v>
      </c>
      <c r="F98" s="249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6186.HK</v>
      </c>
      <c r="D3" s="289"/>
      <c r="E3" s="86"/>
      <c r="F3" s="3" t="s">
        <v>1</v>
      </c>
      <c r="G3" s="130">
        <v>5.79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中国飞鹤</v>
      </c>
      <c r="D4" s="291"/>
      <c r="E4" s="86"/>
      <c r="F4" s="3" t="s">
        <v>2</v>
      </c>
      <c r="G4" s="294">
        <f>Inputs!C10</f>
        <v>9067251704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45605</v>
      </c>
      <c r="D5" s="293"/>
      <c r="E5" s="34"/>
      <c r="F5" s="35" t="s">
        <v>95</v>
      </c>
      <c r="G5" s="286">
        <f>G3*G4/1000000</f>
        <v>52499.387366160001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C0002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C23*C22*(1/C21)</f>
        <v>0.15971157429598379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>
        <f>Data!C53</f>
        <v>0.71940071079975576</v>
      </c>
      <c r="F21" s="86"/>
      <c r="G21" s="29"/>
    </row>
    <row r="22" spans="1:8" ht="15.75" customHeight="1" x14ac:dyDescent="0.4">
      <c r="B22" s="274" t="s">
        <v>262</v>
      </c>
      <c r="C22" s="275">
        <f>Data!C48</f>
        <v>0.54851586746509362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0.20946817929344683</v>
      </c>
      <c r="F23" s="138" t="s">
        <v>174</v>
      </c>
      <c r="G23" s="174">
        <f>G3/(Data!C34*Data!C4/Common_Shares*Exchange_Rate)</f>
        <v>1.8177339495148974</v>
      </c>
    </row>
    <row r="24" spans="1:8" ht="15.75" customHeight="1" x14ac:dyDescent="0.4">
      <c r="B24" s="135" t="s">
        <v>256</v>
      </c>
      <c r="C24" s="168">
        <f>Fin_Analysis!I81</f>
        <v>2.7202256703967287E-3</v>
      </c>
      <c r="F24" s="138" t="s">
        <v>240</v>
      </c>
      <c r="G24" s="263">
        <f>G3/(Fin_Analysis!H86*G7)</f>
        <v>16.230908453547308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0.93286630876064991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5.7474682420303437E-2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3.8675136657308236</v>
      </c>
      <c r="D29" s="127">
        <f>G29*(1+G20)</f>
        <v>6.7184478870698969</v>
      </c>
      <c r="E29" s="86"/>
      <c r="F29" s="129">
        <f>IF(Fin_Analysis!C108="Profit",Fin_Analysis!F100,IF(Fin_Analysis!C108="Dividend",Fin_Analysis!F103,Fin_Analysis!F106))</f>
        <v>4.5500160773303806</v>
      </c>
      <c r="G29" s="285">
        <f>IF(Fin_Analysis!C108="Profit",Fin_Analysis!I100,IF(Fin_Analysis!C108="Dividend",Fin_Analysis!I103,Fin_Analysis!I106))</f>
        <v>5.8421285974520849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4091375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19532203</v>
      </c>
      <c r="D6" s="197">
        <f>IF(Inputs!D25="","",Inputs!D25)</f>
        <v>21310933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-8.3465608943540825E-2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6868850</v>
      </c>
      <c r="D8" s="196">
        <f>IF(Inputs!D26="","",Inputs!D26)</f>
        <v>7360333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12663353</v>
      </c>
      <c r="D9" s="149">
        <f t="shared" si="2"/>
        <v>13950600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8571978</v>
      </c>
      <c r="D10" s="196">
        <f>IF(Inputs!D27="","",Inputs!D27)</f>
        <v>8215637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8077.333333333333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0.20946817929344683</v>
      </c>
      <c r="D13" s="224">
        <f t="shared" si="3"/>
        <v>0.26872993625697511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4091375</v>
      </c>
      <c r="D14" s="225">
        <f t="shared" ref="D14:M14" si="4">IF(D6="","",D9-D10-MAX(D11,0)-MAX(D12,0))</f>
        <v>5726885.666666667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-0.28558465488252288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-337926</v>
      </c>
      <c r="D16" s="196">
        <f>IF(Inputs!D31="","",Inputs!D31)</f>
        <v>827860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53132</v>
      </c>
      <c r="D17" s="196">
        <f>IF(Inputs!D29="","",Inputs!D29)</f>
        <v>33640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3.2256320498000146E-2</v>
      </c>
      <c r="D18" s="150">
        <f t="shared" si="6"/>
        <v>2.5514462459245685E-2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630037</v>
      </c>
      <c r="D19" s="196">
        <f>IF(Inputs!D32="","",Inputs!D32)</f>
        <v>543737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3.2256320498000146E-2</v>
      </c>
      <c r="D20" s="150">
        <f t="shared" si="7"/>
        <v>2.5514462459245685E-2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630037</v>
      </c>
      <c r="D21" s="196">
        <f>IF(Inputs!D33="","",Inputs!D33)</f>
        <v>543737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4038243</v>
      </c>
      <c r="D22" s="158">
        <f t="shared" ref="D22:M22" si="8">IF(D6="","",D14-MAX(D16,0)-MAX(D17,0)-ABS(MAX(D21,0)-MAX(D19,0)))</f>
        <v>4865385.666666667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0.15506096521728757</v>
      </c>
      <c r="D23" s="151">
        <f t="shared" si="9"/>
        <v>0.17122850745202006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-0.17000557064438263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35609185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308472</v>
      </c>
      <c r="D28" s="196">
        <f>IF(Inputs!D35="","",Inputs!D35)</f>
        <v>431184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2139247</v>
      </c>
      <c r="D29" s="196">
        <f>IF(Inputs!D36="","",Inputs!D36)</f>
        <v>2258059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8565478</v>
      </c>
      <c r="D30" s="196">
        <f>IF(Inputs!D37="","",Inputs!D37)</f>
        <v>7382230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549384</v>
      </c>
      <c r="D31" s="196">
        <f>IF(Inputs!D39="","",Inputs!D39)</f>
        <v>592316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808963</v>
      </c>
      <c r="D32" s="196">
        <f>IF(Inputs!D40="","",Inputs!D40)</f>
        <v>1044096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1358347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27043707</v>
      </c>
      <c r="D34" s="196">
        <f>IF(Inputs!D41="","",Inputs!D41)</f>
        <v>26334346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1426434</v>
      </c>
      <c r="D35" s="196">
        <f>IF(Inputs!D42="","",Inputs!D42)</f>
        <v>1389487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19968596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16075596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0.25450844870697176</v>
      </c>
      <c r="D38" s="153">
        <f>IF(D6="","",D14/MAX(D37,0))</f>
        <v>0.41656197249826282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0.35166796085418528</v>
      </c>
      <c r="D40" s="154">
        <f t="shared" si="34"/>
        <v>0.34537826194657922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0.43886385985236792</v>
      </c>
      <c r="D41" s="151">
        <f t="shared" si="35"/>
        <v>0.3855127788163944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3.8846727170509146E-2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2.7202256703967287E-3</v>
      </c>
      <c r="D43" s="151">
        <f t="shared" si="37"/>
        <v>1.5785324837725313E-3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3.7902298005128792E-4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0.2067479536230501</v>
      </c>
      <c r="D46" s="151">
        <f t="shared" si="40"/>
        <v>0.22830467660269341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0.54851586746509362</v>
      </c>
      <c r="D48" s="267">
        <f t="shared" si="41"/>
        <v>0.63206100761832995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1.5792995802879992E-2</v>
      </c>
      <c r="D49" s="151">
        <f t="shared" si="42"/>
        <v>2.0232994960849439E-2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0.1095241023247608</v>
      </c>
      <c r="D50" s="151">
        <f t="shared" si="43"/>
        <v>0.10595777294217949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0.18998161609687811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0.71940071079975576</v>
      </c>
      <c r="D53" s="154">
        <f t="shared" si="45"/>
        <v>0.73983962665722636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2.9729097204175368</v>
      </c>
      <c r="D54" s="155">
        <f t="shared" si="46"/>
        <v>2.9732033660634771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1.3157207230966536E-2</v>
      </c>
      <c r="D55" s="151">
        <f t="shared" si="47"/>
        <v>6.9141487036622033E-3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0.15971157429598382</v>
      </c>
      <c r="D58" s="269">
        <f t="shared" si="49"/>
        <v>0.22958180147126375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0.15763750497564671</v>
      </c>
      <c r="D59" s="269">
        <f t="shared" si="50"/>
        <v>0.19504562710363152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27043707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25617273</v>
      </c>
      <c r="K3" s="24"/>
    </row>
    <row r="4" spans="1:11" ht="15" customHeight="1" x14ac:dyDescent="0.4">
      <c r="B4" s="3" t="s">
        <v>22</v>
      </c>
      <c r="C4" s="86"/>
      <c r="D4" s="196">
        <f>Inputs!C42</f>
        <v>1426434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3.3364014362803656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8839772.7914576679</v>
      </c>
      <c r="E6" s="56">
        <f>1-D6/D3</f>
        <v>0.67313013739360261</v>
      </c>
      <c r="F6" s="86"/>
      <c r="G6" s="86"/>
      <c r="H6" s="1" t="s">
        <v>25</v>
      </c>
      <c r="I6" s="63">
        <f>(C24+C25)/I28</f>
        <v>3.0177109762109176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1.0411735474248676</v>
      </c>
      <c r="E7" s="11" t="str">
        <f>Dashboard!H3</f>
        <v>HKD</v>
      </c>
      <c r="H7" s="1" t="s">
        <v>26</v>
      </c>
      <c r="I7" s="63">
        <f>C24/I28</f>
        <v>2.8904485389230459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19073030</v>
      </c>
      <c r="D11" s="195">
        <f>Inputs!D48</f>
        <v>0.9</v>
      </c>
      <c r="E11" s="87">
        <f t="shared" ref="E11:E22" si="0">C11*D11</f>
        <v>17165727</v>
      </c>
      <c r="F11" s="111"/>
      <c r="G11" s="86"/>
      <c r="H11" s="3" t="s">
        <v>34</v>
      </c>
      <c r="I11" s="40">
        <f>Inputs!C73</f>
        <v>510909</v>
      </c>
      <c r="J11" s="86"/>
      <c r="K11" s="24"/>
    </row>
    <row r="12" spans="1:11" ht="13.9" x14ac:dyDescent="0.4">
      <c r="B12" s="1" t="s">
        <v>129</v>
      </c>
      <c r="C12" s="40">
        <f>Inputs!C49</f>
        <v>20972</v>
      </c>
      <c r="D12" s="195">
        <f>Inputs!D49</f>
        <v>0.8</v>
      </c>
      <c r="E12" s="87">
        <f t="shared" si="0"/>
        <v>16777.600000000002</v>
      </c>
      <c r="F12" s="111"/>
      <c r="G12" s="86"/>
      <c r="H12" s="3" t="s">
        <v>35</v>
      </c>
      <c r="I12" s="40">
        <f>Inputs!C74</f>
        <v>28807</v>
      </c>
      <c r="J12" s="86"/>
      <c r="K12" s="24"/>
    </row>
    <row r="13" spans="1:11" ht="13.9" x14ac:dyDescent="0.4">
      <c r="B13" s="3" t="s">
        <v>111</v>
      </c>
      <c r="C13" s="40">
        <f>Inputs!C50</f>
        <v>308472</v>
      </c>
      <c r="D13" s="195">
        <f>Inputs!D50</f>
        <v>0.6</v>
      </c>
      <c r="E13" s="87">
        <f t="shared" si="0"/>
        <v>185083.19999999998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9668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549384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854264</v>
      </c>
      <c r="D17" s="195">
        <f>Inputs!D54</f>
        <v>0.1</v>
      </c>
      <c r="E17" s="87">
        <f t="shared" si="0"/>
        <v>85426.400000000009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2139247</v>
      </c>
      <c r="D18" s="195">
        <f>Inputs!D55</f>
        <v>0.5</v>
      </c>
      <c r="E18" s="87">
        <f t="shared" si="0"/>
        <v>1069623.5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6163233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19402474</v>
      </c>
      <c r="D24" s="62">
        <f>IF(E24=0,0,E24/C24)</f>
        <v>0.89512233336841485</v>
      </c>
      <c r="E24" s="87">
        <f>SUM(E11:E14)</f>
        <v>17367587.800000001</v>
      </c>
      <c r="F24" s="112">
        <f>E24/$E$28</f>
        <v>0.93764117623485133</v>
      </c>
      <c r="G24" s="86"/>
    </row>
    <row r="25" spans="2:10" ht="15" customHeight="1" x14ac:dyDescent="0.4">
      <c r="B25" s="23" t="s">
        <v>50</v>
      </c>
      <c r="C25" s="61">
        <f>SUM(C15:C17)</f>
        <v>854264</v>
      </c>
      <c r="D25" s="62">
        <f>IF(E25=0,0,E25/C25)</f>
        <v>0.1</v>
      </c>
      <c r="E25" s="87">
        <f>SUM(E15:E17)</f>
        <v>85426.400000000009</v>
      </c>
      <c r="F25" s="112">
        <f>E25/$E$28</f>
        <v>4.6119997261513147E-3</v>
      </c>
      <c r="G25" s="86"/>
      <c r="H25" s="23" t="s">
        <v>51</v>
      </c>
      <c r="I25" s="63">
        <f>E28/I28</f>
        <v>2.7593765144056333</v>
      </c>
    </row>
    <row r="26" spans="2:10" ht="15" customHeight="1" x14ac:dyDescent="0.4">
      <c r="B26" s="23" t="s">
        <v>52</v>
      </c>
      <c r="C26" s="61">
        <f>C18+C19+C20</f>
        <v>2139247</v>
      </c>
      <c r="D26" s="62">
        <f>IF(E26=0,0,E26/C26)</f>
        <v>0.5</v>
      </c>
      <c r="E26" s="87">
        <f>E18+E19+E20</f>
        <v>1069623.5</v>
      </c>
      <c r="F26" s="112">
        <f>E26/$E$28</f>
        <v>5.7746824038997425E-2</v>
      </c>
      <c r="G26" s="86"/>
      <c r="H26" s="23" t="s">
        <v>53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1"/>
      <c r="G28" s="86"/>
      <c r="H28" s="78" t="s">
        <v>15</v>
      </c>
      <c r="I28" s="202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300000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756896</v>
      </c>
      <c r="J30" s="86"/>
    </row>
    <row r="31" spans="2:10" ht="15" customHeight="1" x14ac:dyDescent="0.4">
      <c r="B31" s="3" t="s">
        <v>58</v>
      </c>
      <c r="C31" s="40">
        <f>Inputs!C61</f>
        <v>1800</v>
      </c>
      <c r="D31" s="195">
        <f>Inputs!D61</f>
        <v>0.6</v>
      </c>
      <c r="E31" s="87">
        <f t="shared" ref="E31:E42" si="1">C31*D31</f>
        <v>1080</v>
      </c>
      <c r="F31" s="111"/>
      <c r="G31" s="86"/>
      <c r="H31" s="3" t="s">
        <v>59</v>
      </c>
      <c r="I31" s="40">
        <f>Inputs!C79</f>
        <v>52067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808963</v>
      </c>
      <c r="J34" s="86"/>
    </row>
    <row r="35" spans="2:10" ht="13.9" x14ac:dyDescent="0.4">
      <c r="B35" s="3" t="s">
        <v>65</v>
      </c>
      <c r="C35" s="40">
        <f>Inputs!C65</f>
        <v>113569</v>
      </c>
      <c r="D35" s="195">
        <f>Inputs!D65</f>
        <v>0.1</v>
      </c>
      <c r="E35" s="87">
        <f t="shared" si="1"/>
        <v>11356.900000000001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45190</v>
      </c>
      <c r="D36" s="195">
        <f>Inputs!D66</f>
        <v>0.2</v>
      </c>
      <c r="E36" s="87">
        <f t="shared" si="1"/>
        <v>9038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9938000</v>
      </c>
      <c r="D38" s="195">
        <f>Inputs!D68</f>
        <v>0.1</v>
      </c>
      <c r="E38" s="87">
        <f t="shared" si="1"/>
        <v>993800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2304520</v>
      </c>
      <c r="D39" s="195">
        <f>Inputs!D69</f>
        <v>0.05</v>
      </c>
      <c r="E39" s="87">
        <f t="shared" si="1"/>
        <v>115226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15244</v>
      </c>
      <c r="D40" s="195">
        <f>Inputs!D70</f>
        <v>0.05</v>
      </c>
      <c r="E40" s="87">
        <f t="shared" si="1"/>
        <v>762.2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382475</v>
      </c>
      <c r="D41" s="195">
        <f>Inputs!D71</f>
        <v>0.9</v>
      </c>
      <c r="E41" s="87">
        <f t="shared" si="1"/>
        <v>344227.5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112402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1043898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301800</v>
      </c>
      <c r="D44" s="62">
        <f>IF(E44=0,0,E44/C44)</f>
        <v>3.5785288270377734E-3</v>
      </c>
      <c r="E44" s="87">
        <f>SUM(E30:E31)</f>
        <v>1080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113569</v>
      </c>
      <c r="D45" s="62">
        <f>IF(E45=0,0,E45/C45)</f>
        <v>0.10000000000000002</v>
      </c>
      <c r="E45" s="87">
        <f>SUM(E32:E35)</f>
        <v>11356.900000000001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12287710</v>
      </c>
      <c r="D46" s="62">
        <f>IF(E46=0,0,E46/C46)</f>
        <v>9.0990428647811511E-2</v>
      </c>
      <c r="E46" s="87">
        <f>E36+E37+E38+E39</f>
        <v>1118064</v>
      </c>
      <c r="F46" s="86"/>
      <c r="G46" s="86"/>
      <c r="H46" s="23" t="s">
        <v>76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510121</v>
      </c>
      <c r="D47" s="62">
        <f>IF(E47=0,0,E47/C47)</f>
        <v>0.67628993905367552</v>
      </c>
      <c r="E47" s="87">
        <f>E40+E41+E42</f>
        <v>344989.7</v>
      </c>
      <c r="F47" s="86"/>
      <c r="G47" s="86"/>
      <c r="H47" s="23" t="s">
        <v>78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13213200</v>
      </c>
      <c r="D48" s="81">
        <f>E48/C48</f>
        <v>0.1116679229861048</v>
      </c>
      <c r="E48" s="76">
        <f>SUM(E30:E42)</f>
        <v>1475490.5999999999</v>
      </c>
      <c r="F48" s="86"/>
      <c r="G48" s="86"/>
      <c r="H48" s="80" t="s">
        <v>80</v>
      </c>
      <c r="I48" s="279">
        <f>I49-I28</f>
        <v>1852861</v>
      </c>
      <c r="J48" s="8"/>
    </row>
    <row r="49" spans="2:11" ht="15" customHeight="1" thickTop="1" x14ac:dyDescent="0.4">
      <c r="B49" s="3" t="s">
        <v>13</v>
      </c>
      <c r="C49" s="61">
        <f>Inputs!C41+Inputs!C37</f>
        <v>35609185</v>
      </c>
      <c r="D49" s="56">
        <f>E49/C49</f>
        <v>0.56160028093875225</v>
      </c>
      <c r="E49" s="87">
        <f>E28+E48</f>
        <v>19998128.300000001</v>
      </c>
      <c r="F49" s="86"/>
      <c r="G49" s="86"/>
      <c r="H49" s="3" t="s">
        <v>81</v>
      </c>
      <c r="I49" s="40">
        <f>Inputs!C37</f>
        <v>8565478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1426434</v>
      </c>
      <c r="D53" s="29">
        <f>IF(E53=0, 0,E53/C53)</f>
        <v>1.8177339495148974</v>
      </c>
      <c r="E53" s="87">
        <f>IF(C53=0,0,MAX(C53,C53*Dashboard!G23))</f>
        <v>2592877.5085423333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1358347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19373030</v>
      </c>
      <c r="D62" s="106">
        <f t="shared" si="2"/>
        <v>0.88606309906091096</v>
      </c>
      <c r="E62" s="116">
        <f>E11+E30</f>
        <v>17165727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1358347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7207131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19532203</v>
      </c>
      <c r="D74" s="204"/>
      <c r="E74" s="233">
        <f>Inputs!E91</f>
        <v>19532203</v>
      </c>
      <c r="F74" s="204"/>
      <c r="H74" s="233">
        <f>Inputs!F91</f>
        <v>19532203</v>
      </c>
      <c r="I74" s="204"/>
      <c r="K74" s="24"/>
    </row>
    <row r="75" spans="1:11" ht="15" customHeight="1" x14ac:dyDescent="0.4">
      <c r="B75" s="103" t="s">
        <v>101</v>
      </c>
      <c r="C75" s="77">
        <f>Data!C8</f>
        <v>6868850</v>
      </c>
      <c r="D75" s="156">
        <f>C75/$C$74</f>
        <v>0.35166796085418528</v>
      </c>
      <c r="E75" s="233">
        <f>Inputs!E92</f>
        <v>6868850</v>
      </c>
      <c r="F75" s="157">
        <f>E75/E74</f>
        <v>0.35166796085418528</v>
      </c>
      <c r="H75" s="233">
        <f>Inputs!F92</f>
        <v>6868850</v>
      </c>
      <c r="I75" s="157">
        <f>H75/$H$74</f>
        <v>0.35166796085418528</v>
      </c>
      <c r="K75" s="24"/>
    </row>
    <row r="76" spans="1:11" ht="15" customHeight="1" x14ac:dyDescent="0.4">
      <c r="B76" s="35" t="s">
        <v>91</v>
      </c>
      <c r="C76" s="158">
        <f>C74-C75</f>
        <v>12663353</v>
      </c>
      <c r="D76" s="205"/>
      <c r="E76" s="159">
        <f>E74-E75</f>
        <v>12663353</v>
      </c>
      <c r="F76" s="205"/>
      <c r="H76" s="159">
        <f>H74-H75</f>
        <v>12663353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8571978</v>
      </c>
      <c r="D77" s="156">
        <f>C77/$C$74</f>
        <v>0.43886385985236792</v>
      </c>
      <c r="E77" s="233">
        <f>Inputs!E93</f>
        <v>8571978</v>
      </c>
      <c r="F77" s="157">
        <f>E77/E74</f>
        <v>0.43886385985236792</v>
      </c>
      <c r="H77" s="233">
        <f>Inputs!F93</f>
        <v>8571978</v>
      </c>
      <c r="I77" s="157">
        <f>H77/$H$74</f>
        <v>0.43886385985236792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4091375</v>
      </c>
      <c r="D79" s="253">
        <f>C79/C74</f>
        <v>0.20946817929344683</v>
      </c>
      <c r="E79" s="254">
        <f>E76-E77-E78</f>
        <v>4091375</v>
      </c>
      <c r="F79" s="253">
        <f>E79/E74</f>
        <v>0.20946817929344683</v>
      </c>
      <c r="G79" s="255"/>
      <c r="H79" s="254">
        <f>H76-H77-H78</f>
        <v>4091375</v>
      </c>
      <c r="I79" s="253">
        <f>H79/H74</f>
        <v>0.20946817929344683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53132</v>
      </c>
      <c r="D81" s="156">
        <f>C81/$C$74</f>
        <v>2.7202256703967287E-3</v>
      </c>
      <c r="E81" s="177">
        <f>E74*F81</f>
        <v>53131.999999999993</v>
      </c>
      <c r="F81" s="157">
        <f>I81</f>
        <v>2.7202256703967287E-3</v>
      </c>
      <c r="H81" s="233">
        <f>Inputs!F94</f>
        <v>53131.999999999993</v>
      </c>
      <c r="I81" s="157">
        <f>H81/$H$74</f>
        <v>2.7202256703967287E-3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4038243</v>
      </c>
      <c r="D83" s="161">
        <f>C83/$C$74</f>
        <v>0.2067479536230501</v>
      </c>
      <c r="E83" s="162">
        <f>E79-E81-E82-E80</f>
        <v>4038243</v>
      </c>
      <c r="F83" s="161">
        <f>E83/E74</f>
        <v>0.2067479536230501</v>
      </c>
      <c r="H83" s="162">
        <f>H79-H81-H82-H80</f>
        <v>4038243</v>
      </c>
      <c r="I83" s="161">
        <f>H83/$H$74</f>
        <v>0.2067479536230501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3028682.25</v>
      </c>
      <c r="D85" s="253">
        <f>C85/$C$74</f>
        <v>0.15506096521728757</v>
      </c>
      <c r="E85" s="259">
        <f>E83*(1-F84)</f>
        <v>3028682.25</v>
      </c>
      <c r="F85" s="253">
        <f>E85/E74</f>
        <v>0.15506096521728757</v>
      </c>
      <c r="G85" s="255"/>
      <c r="H85" s="259">
        <f>H83*(1-I84)</f>
        <v>3028682.25</v>
      </c>
      <c r="I85" s="253">
        <f>H85/$H$74</f>
        <v>0.15506096521728757</v>
      </c>
      <c r="K85" s="24"/>
    </row>
    <row r="86" spans="1:11" ht="15" customHeight="1" x14ac:dyDescent="0.4">
      <c r="B86" s="86" t="s">
        <v>151</v>
      </c>
      <c r="C86" s="164">
        <f>C85*Data!C4/Common_Shares</f>
        <v>0.33402428308722287</v>
      </c>
      <c r="D86" s="204"/>
      <c r="E86" s="165">
        <f>E85*Data!C4/Common_Shares</f>
        <v>0.33402428308722287</v>
      </c>
      <c r="F86" s="204"/>
      <c r="H86" s="165">
        <f>H85*Data!C4/Common_Shares</f>
        <v>0.33402428308722287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6.1610845927816654E-2</v>
      </c>
      <c r="D87" s="204"/>
      <c r="E87" s="257">
        <f>E86*Exchange_Rate/Dashboard!G3</f>
        <v>6.1610845927816654E-2</v>
      </c>
      <c r="F87" s="204"/>
      <c r="H87" s="257">
        <f>H86*Exchange_Rate/Dashboard!G3</f>
        <v>6.1610845927816654E-2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0.31159999999999999</v>
      </c>
      <c r="D88" s="163">
        <f>C88/C86</f>
        <v>0.93286630876064991</v>
      </c>
      <c r="E88" s="167">
        <f>Inputs!E98</f>
        <v>0.31159999999999999</v>
      </c>
      <c r="F88" s="163">
        <f>E88/E86</f>
        <v>0.93286630876064991</v>
      </c>
      <c r="H88" s="167">
        <f>Inputs!F98</f>
        <v>0.31159999999999999</v>
      </c>
      <c r="I88" s="163">
        <f>H88/H86</f>
        <v>0.93286630876064991</v>
      </c>
      <c r="K88" s="24"/>
    </row>
    <row r="89" spans="1:11" ht="15" customHeight="1" x14ac:dyDescent="0.4">
      <c r="B89" s="86" t="s">
        <v>205</v>
      </c>
      <c r="C89" s="256">
        <f>C88*Exchange_Rate/Dashboard!G3</f>
        <v>5.7474682420303437E-2</v>
      </c>
      <c r="D89" s="204"/>
      <c r="E89" s="256">
        <f>E88*Exchange_Rate/Dashboard!G3</f>
        <v>5.7474682420303437E-2</v>
      </c>
      <c r="F89" s="204"/>
      <c r="H89" s="256">
        <f>H88*Exchange_Rate/Dashboard!G3</f>
        <v>5.7474682420303437E-2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7.2606681397093906</v>
      </c>
      <c r="H93" s="86" t="s">
        <v>194</v>
      </c>
      <c r="I93" s="142">
        <f>FV(H87,D93,0,-(H86/(C93-D94)))*Exchange_Rate</f>
        <v>7.2606681397093906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6.6423102036572983</v>
      </c>
      <c r="H94" s="86" t="s">
        <v>195</v>
      </c>
      <c r="I94" s="142">
        <f>FV(H89,D93,0,-(H88/(C93-D94)))*Exchange_Rate</f>
        <v>6.6423102036572983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32731285.109924566</v>
      </c>
      <c r="D97" s="208"/>
      <c r="E97" s="121">
        <f>PV(C94,D93,0,-F93)</f>
        <v>3.6098352817850223</v>
      </c>
      <c r="F97" s="208"/>
      <c r="H97" s="121">
        <f>PV(C94,D93,0,-I93)</f>
        <v>3.6098352817850223</v>
      </c>
      <c r="I97" s="121">
        <f>PV(C93,D93,0,-I93)</f>
        <v>4.8009550500272171</v>
      </c>
      <c r="K97" s="24"/>
    </row>
    <row r="98" spans="2:11" ht="15" customHeight="1" x14ac:dyDescent="0.4">
      <c r="B98" s="28" t="s">
        <v>138</v>
      </c>
      <c r="C98" s="90">
        <f>-E53*Exchange_Rate</f>
        <v>-2769106.7322339006</v>
      </c>
      <c r="D98" s="208"/>
      <c r="E98" s="208"/>
      <c r="F98" s="208"/>
      <c r="H98" s="121">
        <f>C98*Data!$C$4/Common_Shares</f>
        <v>-0.30539647763525907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12209689.354281755</v>
      </c>
      <c r="D99" s="209"/>
      <c r="E99" s="143">
        <f>IF(H99&gt;0,H99*(1-C94),H99*(1+C94))</f>
        <v>1.1445845213011077</v>
      </c>
      <c r="F99" s="209"/>
      <c r="H99" s="143">
        <f>C99*Data!$C$4/Common_Shares</f>
        <v>1.3465700250601267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42171867.731972419</v>
      </c>
      <c r="D100" s="108">
        <f>MIN(F100*(1-C94),E100)</f>
        <v>3.8675136657308236</v>
      </c>
      <c r="E100" s="108">
        <f>MAX(E97+H98+E99,0)</f>
        <v>4.4490233254508711</v>
      </c>
      <c r="F100" s="108">
        <f>(E100+H100)/2</f>
        <v>4.5500160773303806</v>
      </c>
      <c r="H100" s="108">
        <f>MAX(C100*Data!$C$4/Common_Shares,0)</f>
        <v>4.6510088292098901</v>
      </c>
      <c r="I100" s="108">
        <f>MAX(I97+H98+H99,0)</f>
        <v>5.8421285974520849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29943711.085681166</v>
      </c>
      <c r="D103" s="108">
        <f>MIN(F103*(1-C94),E103)</f>
        <v>2.8070417866089263</v>
      </c>
      <c r="E103" s="121">
        <f>PV(C94,D93,0,-F94)</f>
        <v>3.3024021018928544</v>
      </c>
      <c r="F103" s="108">
        <f>(E103+H103)/2</f>
        <v>3.3024021018928544</v>
      </c>
      <c r="H103" s="121">
        <f>PV(C94,D93,0,-I94)</f>
        <v>3.3024021018928544</v>
      </c>
      <c r="I103" s="108">
        <f>PV(C93,D93,0,-I94)</f>
        <v>4.3920796409477818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35142062.707255661</v>
      </c>
      <c r="D106" s="108">
        <f>(D100+D103)/2</f>
        <v>3.3372777261698747</v>
      </c>
      <c r="E106" s="121">
        <f>(E100+E103)/2</f>
        <v>3.875712713671863</v>
      </c>
      <c r="F106" s="108">
        <f>(F100+F103)/2</f>
        <v>3.9262090896116177</v>
      </c>
      <c r="H106" s="121">
        <f>(H100+H103)/2</f>
        <v>3.9767054655513725</v>
      </c>
      <c r="I106" s="121">
        <f>(I100+I103)/2</f>
        <v>5.1171041191999329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