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6CC999E-9443-40CC-8AC4-84DED593276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47" i="4"/>
  <c r="C49" i="3"/>
  <c r="H56" i="2"/>
  <c r="I56" i="2"/>
  <c r="D4" i="3"/>
  <c r="D3" i="3"/>
  <c r="I3" i="3" s="1"/>
  <c r="I49" i="3"/>
  <c r="C34" i="2"/>
  <c r="C56" i="2" s="1"/>
  <c r="C30" i="2"/>
  <c r="E34" i="2"/>
  <c r="F34" i="2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3" i="4"/>
  <c r="G27" i="2"/>
  <c r="G56" i="2" s="1"/>
  <c r="J27" i="2"/>
  <c r="D27" i="2"/>
  <c r="D56" i="2" s="1"/>
  <c r="F27" i="2"/>
  <c r="F56" i="2" s="1"/>
  <c r="M56" i="2"/>
  <c r="D37" i="2"/>
  <c r="E27" i="2"/>
  <c r="E56" i="2" s="1"/>
  <c r="L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<sst xmlns="http://schemas.openxmlformats.org/spreadsheetml/2006/main" count="391" uniqueCount="274">
  <si>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</si>
  <si>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</si>
  <si>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</si>
  <si>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</si>
  <si>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</si>
  <si>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</si>
  <si>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</si>
  <si>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</si>
  <si>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</si>
  <si>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</si>
  <si>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</si>
  <si>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</si>
  <si>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</si>
  <si>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</si>
  <si>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</si>
  <si>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</si>
  <si>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</si>
  <si>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</si>
  <si>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</si>
  <si>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</si>
  <si>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</si>
  <si>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</si>
  <si>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</si>
  <si>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</si>
  <si>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</si>
  <si>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</si>
  <si>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</si>
  <si>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</si>
  <si>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</si>
  <si>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</si>
  <si>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</si>
  <si>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</si>
  <si>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</si>
  <si>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</si>
  <si>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</si>
  <si>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</si>
  <si>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</si>
  <si>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</si>
  <si>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</si>
  <si>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</si>
  <si>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</si>
  <si>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</si>
  <si>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</si>
  <si>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</si>
  <si>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</si>
  <si>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</si>
  <si>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</si>
  <si>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</si>
  <si>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</si>
  <si>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</si>
  <si>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</si>
  <si>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</si>
  <si>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</si>
  <si>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</si>
  <si>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</si>
  <si>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</si>
  <si>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</si>
  <si>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</si>
  <si>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</si>
  <si>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</si>
  <si>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</si>
  <si>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</si>
  <si>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</si>
  <si>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</si>
  <si>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</si>
  <si>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</si>
  <si>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</si>
  <si>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</si>
  <si>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</si>
  <si>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</si>
  <si>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</si>
  <si>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</si>
  <si>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</si>
  <si>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</si>
  <si>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</si>
  <si>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</si>
  <si>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</si>
  <si>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</si>
  <si>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</si>
  <si>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</si>
  <si>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</si>
  <si>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</si>
  <si>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</si>
  <si>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</si>
  <si>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</si>
  <si>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</si>
  <si>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</si>
  <si>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</si>
  <si>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</si>
  <si>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</si>
  <si>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</si>
  <si>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</si>
  <si>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</si>
  <si>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</si>
  <si>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</si>
  <si>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</si>
  <si>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</si>
  <si>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</si>
  <si>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</si>
  <si>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</si>
  <si>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</si>
  <si>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</si>
  <si>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</si>
  <si>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</si>
  <si>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</si>
  <si>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</si>
  <si>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</si>
  <si>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</si>
  <si>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</si>
  <si>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</si>
  <si>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</si>
  <si>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</si>
  <si>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</si>
  <si>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</si>
  <si>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</si>
  <si>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</si>
  <si>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</si>
  <si>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</si>
  <si>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</si>
  <si>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</si>
  <si>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</si>
  <si>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</si>
  <si>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</si>
  <si>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</si>
  <si>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</si>
  <si>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</si>
  <si>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</si>
  <si>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</si>
  <si>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</si>
  <si>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</si>
  <si>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</si>
  <si>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</si>
  <si>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</si>
  <si>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</si>
  <si>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</si>
  <si>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</si>
  <si>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</si>
  <si>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</si>
  <si>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</si>
  <si>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</si>
  <si>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</si>
  <si>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</si>
  <si>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</si>
  <si>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</si>
  <si>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</si>
  <si>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</si>
  <si>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</si>
  <si>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</si>
  <si>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</si>
  <si>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</si>
  <si>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</si>
  <si>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</si>
  <si>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</si>
  <si>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</si>
  <si>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</si>
  <si>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</si>
  <si>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</si>
  <si>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</si>
  <si>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</si>
  <si>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</si>
  <si>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</si>
  <si>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</si>
  <si>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</si>
  <si>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</si>
  <si>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</si>
  <si>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</si>
  <si>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</si>
  <si>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</si>
  <si>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</si>
  <si>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</si>
  <si>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</si>
  <si>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</si>
  <si>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</si>
  <si>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</si>
  <si>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</si>
  <si>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</si>
  <si>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</si>
  <si>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</si>
  <si>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</si>
  <si>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</si>
  <si>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</si>
  <si>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</si>
  <si>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</si>
  <si>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</si>
  <si>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</si>
  <si>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</si>
  <si>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</si>
  <si>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</si>
  <si>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</si>
  <si>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</si>
  <si>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</si>
  <si>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</si>
  <si>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</si>
  <si>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</si>
  <si>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</si>
  <si>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</si>
  <si>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</si>
  <si>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</si>
  <si>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</si>
  <si>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</si>
  <si>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</si>
  <si>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</si>
  <si>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</si>
  <si>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</si>
  <si>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</si>
  <si>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</si>
  <si>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</si>
  <si>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</si>
  <si>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</si>
  <si>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</si>
  <si>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</si>
  <si>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</si>
  <si>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</si>
  <si>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</si>
  <si>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</si>
  <si>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</si>
  <si>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</si>
  <si>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</si>
  <si>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</si>
  <si>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</si>
  <si>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</si>
  <si>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</si>
  <si>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</si>
  <si>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</si>
  <si>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</si>
  <si>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</si>
  <si>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</si>
  <si>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</si>
  <si>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</si>
  <si>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</si>
  <si>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</si>
  <si>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</si>
  <si>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</si>
  <si>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</si>
  <si>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</si>
  <si>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</si>
  <si>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</si>
  <si>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</si>
  <si>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</si>
  <si>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</si>
  <si>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</si>
  <si>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</si>
  <si>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</si>
  <si>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</si>
  <si>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</si>
  <si>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</si>
  <si>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</si>
  <si>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</si>
  <si>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</si>
  <si>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</si>
  <si>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</si>
  <si>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</si>
  <si>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</si>
  <si>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</si>
  <si>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</si>
  <si>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</si>
  <si>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</si>
  <si>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</si>
  <si>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</si>
  <si>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</si>
  <si>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</si>
  <si>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</si>
  <si>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</si>
  <si>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</si>
  <si>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</si>
  <si>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</si>
  <si>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</si>
  <si>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6601.HK</t>
  </si>
  <si>
    <t>朝云集团</t>
  </si>
  <si>
    <t>Tier 3</t>
  </si>
  <si>
    <t>C0007</t>
  </si>
  <si>
    <t>CNY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</si>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</sst>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45593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1333333500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235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238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1615585</v>
      </c>
      <c r="D25" s="147">
        <v>1446638</v>
      </c>
      <c r="E25" s="147">
        <v>1769157</v>
      </c>
      <c r="F25" s="147">
        <v>1702154</v>
      </c>
      <c r="G25" s="147">
        <v>1383402</v>
      </c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897327</v>
      </c>
      <c r="D26" s="148">
        <v>845264</v>
      </c>
      <c r="E26" s="148">
        <v>981731</v>
      </c>
      <c r="F26" s="148">
        <v>959572</v>
      </c>
      <c r="G26" s="148">
        <v>783542</v>
      </c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613104</v>
      </c>
      <c r="D27" s="148">
        <v>599182</v>
      </c>
      <c r="E27" s="148">
        <v>705390</v>
      </c>
      <c r="F27" s="148">
        <v>456610</v>
      </c>
      <c r="G27" s="148">
        <v>396643</v>
      </c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1003</v>
      </c>
      <c r="D29" s="148">
        <v>863</v>
      </c>
      <c r="E29" s="148">
        <v>1613</v>
      </c>
      <c r="F29" s="148">
        <v>2645</v>
      </c>
      <c r="G29" s="148">
        <v>299</v>
      </c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2199</v>
      </c>
      <c r="D30" s="148">
        <v>645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v>-169280</v>
      </c>
      <c r="D31" s="148">
        <v>-50846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35974</v>
      </c>
      <c r="D32" s="148">
        <v>32106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15312</v>
      </c>
      <c r="D33" s="148">
        <v>11600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642877</v>
      </c>
      <c r="D37" s="148">
        <v>734909</v>
      </c>
      <c r="E37" s="148">
        <v>677999</v>
      </c>
      <c r="F37" s="148">
        <v>1352795</v>
      </c>
      <c r="G37" s="148">
        <v>1205068</v>
      </c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>
        <v>18682</v>
      </c>
      <c r="E38" s="148">
        <v>61277</v>
      </c>
      <c r="F38" s="148">
        <v>51229</v>
      </c>
      <c r="G38" s="148">
        <v>23195</v>
      </c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>
        <v>6202</v>
      </c>
      <c r="E39" s="148">
        <v>5517</v>
      </c>
      <c r="F39" s="148">
        <v>301783</v>
      </c>
      <c r="G39" s="148">
        <v>3225</v>
      </c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>
        <v>10412</v>
      </c>
      <c r="E40" s="148">
        <v>9392</v>
      </c>
      <c r="F40" s="148">
        <v>5096</v>
      </c>
      <c r="G40" s="148">
        <v>6880</v>
      </c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3027292</v>
      </c>
      <c r="D41" s="148">
        <v>2824568</v>
      </c>
      <c r="E41" s="148">
        <v>2735259</v>
      </c>
      <c r="F41" s="148">
        <v>250534</v>
      </c>
      <c r="G41" s="148">
        <v>13930</v>
      </c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3990</v>
      </c>
      <c r="D42" s="148">
        <v>7297</v>
      </c>
      <c r="E42" s="148">
        <v>1498</v>
      </c>
      <c r="F42" s="148">
        <v>2853</v>
      </c>
      <c r="G42" s="148">
        <v>696</v>
      </c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>
        <v>2868641</v>
      </c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0.1178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6.6564271180928267E-2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2385307</v>
      </c>
      <c r="D48" s="60">
        <v>0.9</v>
      </c>
      <c r="E48" s="111"/>
    </row>
    <row r="49" spans="2:5" ht="13.9" x14ac:dyDescent="0.4">
      <c r="B49" s="1" t="s">
        <v>129</v>
      </c>
      <c r="C49" s="59">
        <v>0</v>
      </c>
      <c r="D49" s="60">
        <v>0.8</v>
      </c>
      <c r="E49" s="111"/>
    </row>
    <row r="50" spans="2:5" ht="13.9" x14ac:dyDescent="0.4">
      <c r="B50" s="3" t="s">
        <v>111</v>
      </c>
      <c r="C50" s="59">
        <v>180994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0</v>
      </c>
      <c r="D51" s="60">
        <v>0.6</v>
      </c>
      <c r="E51" s="111"/>
    </row>
    <row r="52" spans="2:5" ht="13.9" x14ac:dyDescent="0.4">
      <c r="B52" s="3" t="s">
        <v>39</v>
      </c>
      <c r="C52" s="59">
        <v>253051</v>
      </c>
      <c r="D52" s="60">
        <v>0.5</v>
      </c>
      <c r="E52" s="111"/>
    </row>
    <row r="53" spans="2:5" ht="13.9" x14ac:dyDescent="0.4">
      <c r="B53" s="1" t="s">
        <v>149</v>
      </c>
      <c r="C53" s="59">
        <v>0</v>
      </c>
      <c r="D53" s="60">
        <f>D50</f>
        <v>0.6</v>
      </c>
      <c r="E53" s="111"/>
    </row>
    <row r="54" spans="2:5" ht="13.9" x14ac:dyDescent="0.4">
      <c r="B54" s="3" t="s">
        <v>242</v>
      </c>
      <c r="C54" s="59">
        <v>0</v>
      </c>
      <c r="D54" s="60">
        <v>0.1</v>
      </c>
      <c r="E54" s="111"/>
    </row>
    <row r="55" spans="2:5" ht="13.9" x14ac:dyDescent="0.4">
      <c r="B55" s="3" t="s">
        <v>42</v>
      </c>
      <c r="C55" s="59">
        <v>158110</v>
      </c>
      <c r="D55" s="60">
        <f>D52</f>
        <v>0.5</v>
      </c>
      <c r="E55" s="111"/>
    </row>
    <row r="56" spans="2:5" ht="13.9" x14ac:dyDescent="0.4">
      <c r="B56" s="1" t="s">
        <v>43</v>
      </c>
      <c r="C56" s="59">
        <v>0</v>
      </c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>
        <v>0</v>
      </c>
      <c r="D57" s="60">
        <v>0.6</v>
      </c>
      <c r="E57" s="216" t="s">
        <v>41</v>
      </c>
    </row>
    <row r="58" spans="2:5" ht="13.9" x14ac:dyDescent="0.4">
      <c r="B58" s="3" t="s">
        <v>45</v>
      </c>
      <c r="C58" s="59">
        <v>5912</v>
      </c>
      <c r="D58" s="60">
        <f>D48</f>
        <v>0.9</v>
      </c>
      <c r="E58" s="111"/>
    </row>
    <row r="59" spans="2:5" ht="13.9" x14ac:dyDescent="0.4">
      <c r="B59" s="35" t="s">
        <v>46</v>
      </c>
      <c r="C59" s="118">
        <v>0</v>
      </c>
      <c r="D59" s="192">
        <f>D70</f>
        <v>0.05</v>
      </c>
      <c r="E59" s="111"/>
    </row>
    <row r="60" spans="2:5" ht="13.9" x14ac:dyDescent="0.4">
      <c r="B60" s="3" t="s">
        <v>56</v>
      </c>
      <c r="C60" s="59">
        <v>279425</v>
      </c>
      <c r="D60" s="60">
        <f>D49</f>
        <v>0.8</v>
      </c>
      <c r="E60" s="111"/>
    </row>
    <row r="61" spans="2:5" ht="13.9" x14ac:dyDescent="0.4">
      <c r="B61" s="3" t="s">
        <v>58</v>
      </c>
      <c r="C61" s="59">
        <v>126127</v>
      </c>
      <c r="D61" s="60">
        <f>D51</f>
        <v>0.6</v>
      </c>
      <c r="E61" s="111"/>
    </row>
    <row r="62" spans="2:5" ht="13.9" x14ac:dyDescent="0.4">
      <c r="B62" s="3" t="s">
        <v>60</v>
      </c>
      <c r="C62" s="59">
        <v>0</v>
      </c>
      <c r="D62" s="60">
        <f>D52</f>
        <v>0.5</v>
      </c>
      <c r="E62" s="111"/>
    </row>
    <row r="63" spans="2:5" ht="13.9" x14ac:dyDescent="0.4">
      <c r="B63" s="1" t="s">
        <v>150</v>
      </c>
      <c r="C63" s="59">
        <v>0</v>
      </c>
      <c r="D63" s="60">
        <f>D62</f>
        <v>0.5</v>
      </c>
      <c r="E63" s="111"/>
    </row>
    <row r="64" spans="2:5" ht="13.9" x14ac:dyDescent="0.4">
      <c r="B64" s="3" t="s">
        <v>241</v>
      </c>
      <c r="C64" s="59">
        <v>0</v>
      </c>
      <c r="D64" s="60">
        <v>0.4</v>
      </c>
      <c r="E64" s="111"/>
    </row>
    <row r="65" spans="2:5" ht="13.9" x14ac:dyDescent="0.4">
      <c r="B65" s="3" t="s">
        <v>65</v>
      </c>
      <c r="C65" s="59">
        <v>1500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v>0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>
        <v>0</v>
      </c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193915</v>
      </c>
      <c r="D68" s="60">
        <f>D65</f>
        <v>0.1</v>
      </c>
      <c r="E68" s="111"/>
    </row>
    <row r="69" spans="2:5" ht="13.9" x14ac:dyDescent="0.4">
      <c r="B69" s="3" t="s">
        <v>68</v>
      </c>
      <c r="C69" s="59">
        <v>0</v>
      </c>
      <c r="D69" s="60">
        <f>D70</f>
        <v>0.05</v>
      </c>
      <c r="E69" s="111"/>
    </row>
    <row r="70" spans="2:5" ht="13.9" x14ac:dyDescent="0.4">
      <c r="B70" s="3" t="s">
        <v>69</v>
      </c>
      <c r="C70" s="59">
        <v>9704</v>
      </c>
      <c r="D70" s="60">
        <v>0.05</v>
      </c>
      <c r="E70" s="111"/>
    </row>
    <row r="71" spans="2:5" ht="13.9" x14ac:dyDescent="0.4">
      <c r="B71" s="3" t="s">
        <v>70</v>
      </c>
      <c r="C71" s="59">
        <v>76124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>
        <v>13416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611931</v>
      </c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>
        <v>20583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>
        <v>30946</v>
      </c>
    </row>
    <row r="83" spans="2:8" ht="14.25" hidden="1" thickTop="1" x14ac:dyDescent="0.4">
      <c r="B83" s="73" t="s">
        <v>264</v>
      </c>
      <c r="C83" s="212">
        <v>3023302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1615585</v>
      </c>
      <c r="D91" s="204"/>
      <c r="E91" s="246">
        <f>C91</f>
        <v>1615585</v>
      </c>
      <c r="F91" s="246">
        <f>C91</f>
        <v>1615585</v>
      </c>
    </row>
    <row r="92" spans="2:8" ht="13.9" x14ac:dyDescent="0.4">
      <c r="B92" s="103" t="s">
        <v>101</v>
      </c>
      <c r="C92" s="77">
        <f>C26</f>
        <v>897327</v>
      </c>
      <c r="D92" s="156">
        <f>C92/C91</f>
        <v>0.55541924442229906</v>
      </c>
      <c r="E92" s="247">
        <f>E91*D92</f>
        <v>897327</v>
      </c>
      <c r="F92" s="247">
        <f>F91*D92</f>
        <v>897327</v>
      </c>
    </row>
    <row r="93" spans="2:8" ht="13.9" x14ac:dyDescent="0.4">
      <c r="B93" s="103" t="s">
        <v>229</v>
      </c>
      <c r="C93" s="77">
        <f>C27+C28</f>
        <v>613104</v>
      </c>
      <c r="D93" s="156">
        <f>C93/C91</f>
        <v>0.37949349616392825</v>
      </c>
      <c r="E93" s="247">
        <f>E91*D93</f>
        <v>613104</v>
      </c>
      <c r="F93" s="247">
        <f>F91*D93</f>
        <v>613104</v>
      </c>
    </row>
    <row r="94" spans="2:8" ht="13.9" x14ac:dyDescent="0.4">
      <c r="B94" s="103" t="s">
        <v>236</v>
      </c>
      <c r="C94" s="77">
        <f>C29</f>
        <v>1003</v>
      </c>
      <c r="D94" s="156">
        <f>C94/C91</f>
        <v>6.208277497005729E-4</v>
      </c>
      <c r="E94" s="248"/>
      <c r="F94" s="247">
        <f>F91*D94</f>
        <v>1003.0000000000001</v>
      </c>
    </row>
    <row r="95" spans="2:8" ht="13.9" x14ac:dyDescent="0.4">
      <c r="B95" s="28" t="s">
        <v>228</v>
      </c>
      <c r="C95" s="77">
        <f>ABS(MAX(C33,0)-C32)</f>
        <v>20662</v>
      </c>
      <c r="D95" s="156">
        <f>C95/C91</f>
        <v>1.2789175437999239E-2</v>
      </c>
      <c r="E95" s="247">
        <f>E91*D95</f>
        <v>20662</v>
      </c>
      <c r="F95" s="247">
        <f>F91*D95</f>
        <v>20662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2932</v>
      </c>
      <c r="D97" s="156">
        <f>C97/C91</f>
        <v>1.8148224946381651E-3</v>
      </c>
      <c r="E97" s="248"/>
      <c r="F97" s="247">
        <f>F91*D97</f>
        <v>2932</v>
      </c>
    </row>
    <row r="98" spans="2:7" ht="13.9" x14ac:dyDescent="0.4">
      <c r="B98" s="85" t="s">
        <v>192</v>
      </c>
      <c r="C98" s="232">
        <f>C44</f>
        <v>0.1178</v>
      </c>
      <c r="D98" s="261"/>
      <c r="E98" s="249">
        <f>F98</f>
        <v>0.1178</v>
      </c>
      <c r="F98" s="249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6601.HK</v>
      </c>
      <c r="D3" s="289"/>
      <c r="E3" s="86"/>
      <c r="F3" s="3" t="s">
        <v>1</v>
      </c>
      <c r="G3" s="130">
        <v>1.89</v>
      </c>
      <c r="H3" s="132" t="s">
        <v>273</v>
      </c>
    </row>
    <row r="4" spans="1:10" ht="15.75" customHeight="1" x14ac:dyDescent="0.4">
      <c r="B4" s="35" t="s">
        <v>180</v>
      </c>
      <c r="C4" s="290" t="str">
        <f>Inputs!C5</f>
        <v>朝云集团</v>
      </c>
      <c r="D4" s="291"/>
      <c r="E4" s="86"/>
      <c r="F4" s="3" t="s">
        <v>2</v>
      </c>
      <c r="G4" s="294">
        <f>Inputs!C10</f>
        <v>1333333500</v>
      </c>
      <c r="H4" s="294"/>
      <c r="I4" s="39"/>
    </row>
    <row r="5" spans="1:10" ht="15.75" customHeight="1" x14ac:dyDescent="0.4">
      <c r="B5" s="3" t="s">
        <v>154</v>
      </c>
      <c r="C5" s="292">
        <f>Inputs!C6</f>
        <v>45593</v>
      </c>
      <c r="D5" s="293"/>
      <c r="E5" s="34"/>
      <c r="F5" s="35" t="s">
        <v>95</v>
      </c>
      <c r="G5" s="286">
        <f>G3*G4/1000000</f>
        <v>2520.0003149999998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C0007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>
        <f>C23*C22*(1/C21)</f>
        <v>3.3811375773905486E-2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247</v>
      </c>
      <c r="C21" s="273">
        <f>Data!C53</f>
        <v>0.82375007799368372</v>
      </c>
      <c r="F21" s="86"/>
      <c r="G21" s="29"/>
    </row>
    <row r="22" spans="1:8" ht="15.75" customHeight="1" x14ac:dyDescent="0.4">
      <c r="B22" s="274" t="s">
        <v>261</v>
      </c>
      <c r="C22" s="275">
        <f>Data!C48</f>
        <v>0.44019362596109335</v>
      </c>
      <c r="F22" s="140" t="s">
        <v>170</v>
      </c>
    </row>
    <row r="23" spans="1:8" ht="15.75" customHeight="1" thickBot="1" x14ac:dyDescent="0.45">
      <c r="B23" s="276" t="s">
        <v>254</v>
      </c>
      <c r="C23" s="277">
        <f>Data!C13</f>
        <v>6.3272436919134561E-2</v>
      </c>
      <c r="F23" s="138" t="s">
        <v>174</v>
      </c>
      <c r="G23" s="174">
        <f>G3/(Data!C34*Data!C4/Common_Shares*Exchange_Rate)</f>
        <v>0.77945058421195645</v>
      </c>
    </row>
    <row r="24" spans="1:8" ht="15.75" customHeight="1" x14ac:dyDescent="0.4">
      <c r="B24" s="135" t="s">
        <v>255</v>
      </c>
      <c r="C24" s="168">
        <f>Fin_Analysis!I81</f>
        <v>6.208277497005729E-4</v>
      </c>
      <c r="F24" s="138" t="s">
        <v>239</v>
      </c>
      <c r="G24" s="263">
        <f>G3/(Fin_Analysis!H86*G7)</f>
        <v>39.055153791397096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2.5996778479834153</v>
      </c>
    </row>
    <row r="26" spans="1:8" ht="15.75" customHeight="1" x14ac:dyDescent="0.4">
      <c r="B26" s="136" t="s">
        <v>257</v>
      </c>
      <c r="C26" s="168">
        <f>Fin_Analysis!I80+Fin_Analysis!I82</f>
        <v>1.2789175437999239E-2</v>
      </c>
      <c r="F26" s="139" t="s">
        <v>178</v>
      </c>
      <c r="G26" s="175">
        <f>Fin_Analysis!H88*Exchange_Rate/G3</f>
        <v>6.6564271180928267E-2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237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1.3534510201181278</v>
      </c>
      <c r="D29" s="127">
        <f>G29*(1+G20)</f>
        <v>2.2252133062971082</v>
      </c>
      <c r="E29" s="86"/>
      <c r="F29" s="129">
        <f>IF(Fin_Analysis!C108="Profit",Fin_Analysis!F100,IF(Fin_Analysis!C108="Dividend",Fin_Analysis!F103,Fin_Analysis!F106))</f>
        <v>1.5922953177860328</v>
      </c>
      <c r="G29" s="285">
        <f>IF(Fin_Analysis!C108="Profit",Fin_Analysis!I100,IF(Fin_Analysis!C108="Dividend",Fin_Analysis!I103,Fin_Analysis!I106))</f>
        <v>1.9349680924322681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102222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1615585</v>
      </c>
      <c r="D6" s="197">
        <f>IF(Inputs!D25="","",Inputs!D25)</f>
        <v>1446638</v>
      </c>
      <c r="E6" s="197">
        <f>IF(Inputs!E25="","",Inputs!E25)</f>
        <v>1769157</v>
      </c>
      <c r="F6" s="197">
        <f>IF(Inputs!F25="","",Inputs!F25)</f>
        <v>1702154</v>
      </c>
      <c r="G6" s="197">
        <f>IF(Inputs!G25="","",Inputs!G25)</f>
        <v>1383402</v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0.11678595474472542</v>
      </c>
      <c r="D7" s="91">
        <f t="shared" si="1"/>
        <v>-0.18230094898304672</v>
      </c>
      <c r="E7" s="91">
        <f t="shared" si="1"/>
        <v>3.9363653347464389E-2</v>
      </c>
      <c r="F7" s="91">
        <f t="shared" si="1"/>
        <v>0.2304116952266948</v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897327</v>
      </c>
      <c r="D8" s="196">
        <f>IF(Inputs!D26="","",Inputs!D26)</f>
        <v>845264</v>
      </c>
      <c r="E8" s="196">
        <f>IF(Inputs!E26="","",Inputs!E26)</f>
        <v>981731</v>
      </c>
      <c r="F8" s="196">
        <f>IF(Inputs!F26="","",Inputs!F26)</f>
        <v>959572</v>
      </c>
      <c r="G8" s="196">
        <f>IF(Inputs!G26="","",Inputs!G26)</f>
        <v>783542</v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718258</v>
      </c>
      <c r="D9" s="149">
        <f t="shared" si="2"/>
        <v>601374</v>
      </c>
      <c r="E9" s="149">
        <f t="shared" si="2"/>
        <v>787426</v>
      </c>
      <c r="F9" s="149">
        <f t="shared" si="2"/>
        <v>742582</v>
      </c>
      <c r="G9" s="149">
        <f t="shared" si="2"/>
        <v>599860</v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613104</v>
      </c>
      <c r="D10" s="196">
        <f>IF(Inputs!D27="","",Inputs!D27)</f>
        <v>599182</v>
      </c>
      <c r="E10" s="196">
        <f>IF(Inputs!E27="","",Inputs!E27)</f>
        <v>705390</v>
      </c>
      <c r="F10" s="196">
        <f>IF(Inputs!F27="","",Inputs!F27)</f>
        <v>456610</v>
      </c>
      <c r="G10" s="196">
        <f>IF(Inputs!G27="","",Inputs!G27)</f>
        <v>396643</v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2932</v>
      </c>
      <c r="D12" s="196">
        <f>IF(Inputs!D30="","",MAX(Inputs!D30,0)/(1-Fin_Analysis!$I$84))</f>
        <v>860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6.3272436919134561E-2</v>
      </c>
      <c r="D13" s="224">
        <f t="shared" si="3"/>
        <v>9.2075557257586215E-4</v>
      </c>
      <c r="E13" s="224">
        <f t="shared" si="3"/>
        <v>4.6370107344910601E-2</v>
      </c>
      <c r="F13" s="224">
        <f t="shared" si="3"/>
        <v>0.16800595010792208</v>
      </c>
      <c r="G13" s="224">
        <f t="shared" si="3"/>
        <v>0.14689656368864581</v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102222</v>
      </c>
      <c r="D14" s="225">
        <f t="shared" ref="D14:M14" si="4">IF(D6="","",D9-D10-MAX(D11,0)-MAX(D12,0))</f>
        <v>1332</v>
      </c>
      <c r="E14" s="225">
        <f t="shared" si="4"/>
        <v>82036</v>
      </c>
      <c r="F14" s="225">
        <f t="shared" si="4"/>
        <v>285972</v>
      </c>
      <c r="G14" s="225">
        <f t="shared" si="4"/>
        <v>203217</v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75.743243243243242</v>
      </c>
      <c r="D15" s="227">
        <f t="shared" ref="D15:M15" si="5">IF(E14="","",IF(ABS(D14+E14)=ABS(D14)+ABS(E14),IF(D14&lt;0,-1,1)*(D14-E14)/E14,"Turn"))</f>
        <v>-0.98376322590082399</v>
      </c>
      <c r="E15" s="227">
        <f t="shared" si="5"/>
        <v>-0.71313275425566136</v>
      </c>
      <c r="F15" s="227">
        <f t="shared" si="5"/>
        <v>0.40722478926467764</v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-169280</v>
      </c>
      <c r="D16" s="196">
        <f>IF(Inputs!D31="","",Inputs!D31)</f>
        <v>-50846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1003</v>
      </c>
      <c r="D17" s="196">
        <f>IF(Inputs!D29="","",Inputs!D29)</f>
        <v>863</v>
      </c>
      <c r="E17" s="196">
        <f>IF(Inputs!E29="","",Inputs!E29)</f>
        <v>1613</v>
      </c>
      <c r="F17" s="196">
        <f>IF(Inputs!F29="","",Inputs!F29)</f>
        <v>2645</v>
      </c>
      <c r="G17" s="196">
        <f>IF(Inputs!G29="","",Inputs!G29)</f>
        <v>299</v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2.2266856897037297E-2</v>
      </c>
      <c r="D18" s="150">
        <f t="shared" si="6"/>
        <v>2.2193527337177648E-2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35974</v>
      </c>
      <c r="D19" s="196">
        <f>IF(Inputs!D32="","",Inputs!D32)</f>
        <v>32106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9.4776814590380575E-3</v>
      </c>
      <c r="D20" s="150">
        <f t="shared" si="7"/>
        <v>8.0185920734834829E-3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15312</v>
      </c>
      <c r="D21" s="196">
        <f>IF(Inputs!D33="","",Inputs!D33)</f>
        <v>11600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80557</v>
      </c>
      <c r="D22" s="158">
        <f t="shared" ref="D22:M22" si="8">IF(D6="","",D14-MAX(D16,0)-MAX(D17,0)-ABS(MAX(D21,0)-MAX(D19,0)))</f>
        <v>-20037</v>
      </c>
      <c r="E22" s="158">
        <f t="shared" si="8"/>
        <v>80423</v>
      </c>
      <c r="F22" s="158">
        <f t="shared" si="8"/>
        <v>283327</v>
      </c>
      <c r="G22" s="158">
        <f t="shared" si="8"/>
        <v>202918</v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3.7396825298576054E-2</v>
      </c>
      <c r="D23" s="151">
        <f t="shared" si="9"/>
        <v>-1.0388051468300985E-2</v>
      </c>
      <c r="E23" s="151">
        <f t="shared" si="9"/>
        <v>3.4093780258055109E-2</v>
      </c>
      <c r="F23" s="151">
        <f t="shared" si="9"/>
        <v>0.12483902749104958</v>
      </c>
      <c r="G23" s="151">
        <f t="shared" si="9"/>
        <v>0.11001032237917828</v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 t="str">
        <f>IF(D24="","",IF(ABS(C24+D24)=ABS(C24)+ABS(D24),IF(C24&lt;0,-1,1)*(C24-D24)/D24,"Turn"))</f>
        <v>Turn</v>
      </c>
      <c r="D25" s="228" t="str">
        <f t="shared" ref="D25:M25" si="10">IF(E24="","",IF(ABS(D24+E24)=ABS(D24)+ABS(E24),IF(D24&lt;0,-1,1)*(D24-E24)/E24,"Turn"))</f>
        <v>Turn</v>
      </c>
      <c r="E25" s="228">
        <f t="shared" si="10"/>
        <v>-0.71614777271491947</v>
      </c>
      <c r="F25" s="228">
        <f t="shared" si="10"/>
        <v>0.3962635153116037</v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3670169</v>
      </c>
      <c r="D27" s="65">
        <f>IF(D34="","",D34+D30)</f>
        <v>3559477</v>
      </c>
      <c r="E27" s="65">
        <f t="shared" ref="E27:M27" si="20">IF(E34="","",E34+E30)</f>
        <v>3413258</v>
      </c>
      <c r="F27" s="65">
        <f t="shared" si="20"/>
        <v>1603329</v>
      </c>
      <c r="G27" s="65">
        <f t="shared" si="20"/>
        <v>1218998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180994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158110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642877</v>
      </c>
      <c r="D30" s="196">
        <f>IF(Inputs!D37="","",Inputs!D37)</f>
        <v>734909</v>
      </c>
      <c r="E30" s="196">
        <f>IF(Inputs!E37="","",Inputs!E37)</f>
        <v>677999</v>
      </c>
      <c r="F30" s="196">
        <f>IF(Inputs!F37="","",Inputs!F37)</f>
        <v>1352795</v>
      </c>
      <c r="G30" s="196">
        <f>IF(Inputs!G37="","",Inputs!G37)</f>
        <v>1205068</v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13416</v>
      </c>
      <c r="D31" s="196">
        <f>IF(Inputs!D39="","",Inputs!D39)</f>
        <v>6202</v>
      </c>
      <c r="E31" s="196">
        <f>IF(Inputs!E39="","",Inputs!E39)</f>
        <v>5517</v>
      </c>
      <c r="F31" s="196">
        <f>IF(Inputs!F39="","",Inputs!F39)</f>
        <v>301783</v>
      </c>
      <c r="G31" s="196">
        <f>IF(Inputs!G39="","",Inputs!G39)</f>
        <v>3225</v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20583</v>
      </c>
      <c r="D32" s="196">
        <f>IF(Inputs!D40="","",Inputs!D40)</f>
        <v>10412</v>
      </c>
      <c r="E32" s="196">
        <f>IF(Inputs!E40="","",Inputs!E40)</f>
        <v>9392</v>
      </c>
      <c r="F32" s="196">
        <f>IF(Inputs!F40="","",Inputs!F40)</f>
        <v>5096</v>
      </c>
      <c r="G32" s="196">
        <f>IF(Inputs!G40="","",Inputs!G40)</f>
        <v>6880</v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33999</v>
      </c>
      <c r="D33" s="77">
        <f t="shared" ref="D33" si="22">IF(OR(D31="",D32=""),"",D31+D32)</f>
        <v>16614</v>
      </c>
      <c r="E33" s="77">
        <f t="shared" ref="E33" si="23">IF(OR(E31="",E32=""),"",E31+E32)</f>
        <v>14909</v>
      </c>
      <c r="F33" s="77">
        <f t="shared" ref="F33" si="24">IF(OR(F31="",F32=""),"",F31+F32)</f>
        <v>306879</v>
      </c>
      <c r="G33" s="77">
        <f t="shared" ref="G33" si="25">IF(OR(G31="",G32=""),"",G31+G32)</f>
        <v>10105</v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3027292</v>
      </c>
      <c r="D34" s="196">
        <f>IF(Inputs!D41="","",Inputs!D41)</f>
        <v>2824568</v>
      </c>
      <c r="E34" s="196">
        <f>IF(Inputs!E41="","",Inputs!E41)</f>
        <v>2735259</v>
      </c>
      <c r="F34" s="196">
        <f>IF(Inputs!F41="","",Inputs!F41)</f>
        <v>250534</v>
      </c>
      <c r="G34" s="196">
        <f>IF(Inputs!G41="","",Inputs!G41)</f>
        <v>13930</v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3990</v>
      </c>
      <c r="D35" s="196">
        <f>IF(Inputs!D42="","",Inputs!D42)</f>
        <v>7297</v>
      </c>
      <c r="E35" s="196">
        <f>IF(Inputs!E42="","",Inputs!E42)</f>
        <v>1498</v>
      </c>
      <c r="F35" s="196">
        <f>IF(Inputs!F42="","",Inputs!F42)</f>
        <v>2853</v>
      </c>
      <c r="G35" s="196">
        <f>IF(Inputs!G42="","",Inputs!G42)</f>
        <v>696</v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>
        <f>IF(Inputs!D43="","",Inputs!D43)</f>
        <v>2868641</v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624759</v>
      </c>
      <c r="D37" s="65">
        <f t="shared" ref="D37:M37" si="32">IF(D36="","",D27-D36)</f>
        <v>690836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0.16361829121309177</v>
      </c>
      <c r="D38" s="153">
        <f>IF(D6="","",D14/MAX(D37,0))</f>
        <v>1.9280987093897829E-3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0.55541924442229906</v>
      </c>
      <c r="D40" s="154">
        <f t="shared" si="34"/>
        <v>0.5842954491724951</v>
      </c>
      <c r="E40" s="154">
        <f t="shared" si="34"/>
        <v>0.55491457230760188</v>
      </c>
      <c r="F40" s="154">
        <f t="shared" si="34"/>
        <v>0.56373982612619067</v>
      </c>
      <c r="G40" s="154">
        <f t="shared" si="34"/>
        <v>0.56638778894348862</v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0.37949349616392825</v>
      </c>
      <c r="D41" s="151">
        <f t="shared" si="35"/>
        <v>0.41418931342879145</v>
      </c>
      <c r="E41" s="151">
        <f t="shared" si="35"/>
        <v>0.39871532034748752</v>
      </c>
      <c r="F41" s="151">
        <f t="shared" si="35"/>
        <v>0.2682542237658872</v>
      </c>
      <c r="G41" s="151">
        <f t="shared" si="35"/>
        <v>0.28671564736786559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6.208277497005729E-4</v>
      </c>
      <c r="D43" s="151">
        <f t="shared" si="37"/>
        <v>5.9655559994967644E-4</v>
      </c>
      <c r="E43" s="151">
        <f t="shared" si="37"/>
        <v>9.1173366750378854E-4</v>
      </c>
      <c r="F43" s="151">
        <f t="shared" si="37"/>
        <v>1.5539134531893119E-3</v>
      </c>
      <c r="G43" s="151">
        <f t="shared" si="37"/>
        <v>2.1613384974143452E-4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1.8148224946381651E-3</v>
      </c>
      <c r="D44" s="151">
        <f t="shared" si="38"/>
        <v>5.9448182613756862E-4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1.2789175437999239E-2</v>
      </c>
      <c r="D45" s="151">
        <f t="shared" si="39"/>
        <v>1.4174935263694165E-2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4.9862433731434744E-2</v>
      </c>
      <c r="D46" s="151">
        <f t="shared" si="40"/>
        <v>-1.385073529106798E-2</v>
      </c>
      <c r="E46" s="151">
        <f t="shared" si="40"/>
        <v>4.5458373677406808E-2</v>
      </c>
      <c r="F46" s="151">
        <f t="shared" si="40"/>
        <v>0.16645203665473277</v>
      </c>
      <c r="G46" s="151">
        <f t="shared" si="40"/>
        <v>0.14668042983890439</v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8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0.44019362596109335</v>
      </c>
      <c r="D48" s="267">
        <f t="shared" si="41"/>
        <v>0.40641869578030704</v>
      </c>
      <c r="E48" s="267">
        <f t="shared" si="41"/>
        <v>0.51831915430946029</v>
      </c>
      <c r="F48" s="267">
        <f t="shared" si="41"/>
        <v>1.0616373807247297</v>
      </c>
      <c r="G48" s="267">
        <f t="shared" si="41"/>
        <v>1.1348681458049972</v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0.11203000770618693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9.7865479067953717E-2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>
        <f t="shared" ref="C51:M51" si="44">IF(D6="","",C16/(C6-D6))</f>
        <v>-1.0019710323355846</v>
      </c>
      <c r="D51" s="151">
        <f t="shared" si="44"/>
        <v>0.15765272743621306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0.82375007799368372</v>
      </c>
      <c r="D53" s="154">
        <f t="shared" si="45"/>
        <v>0.79148453550900877</v>
      </c>
      <c r="E53" s="154">
        <f t="shared" si="45"/>
        <v>0.80092421961656579</v>
      </c>
      <c r="F53" s="154">
        <f t="shared" si="45"/>
        <v>0.15447921169017712</v>
      </c>
      <c r="G53" s="154">
        <f t="shared" si="45"/>
        <v>1.0856457516747362E-2</v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2.369393217447572</v>
      </c>
      <c r="D54" s="155">
        <f t="shared" si="46"/>
        <v>-1.2060310581437341</v>
      </c>
      <c r="E54" s="155">
        <f t="shared" si="46"/>
        <v>5.3942585015762292</v>
      </c>
      <c r="F54" s="155">
        <f t="shared" si="46"/>
        <v>0.92325313885928983</v>
      </c>
      <c r="G54" s="155">
        <f t="shared" si="46"/>
        <v>20.080950024740229</v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1.2450811226833175E-2</v>
      </c>
      <c r="D55" s="151">
        <f t="shared" si="47"/>
        <v>-4.3070319908169882E-2</v>
      </c>
      <c r="E55" s="151">
        <f t="shared" si="47"/>
        <v>2.0056451512626985E-2</v>
      </c>
      <c r="F55" s="151">
        <f t="shared" si="47"/>
        <v>9.3355027935918562E-3</v>
      </c>
      <c r="G55" s="151">
        <f t="shared" si="47"/>
        <v>1.4735016114883846E-3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>
        <f>IF(D34="","",IF(Inputs!D38=0,0,Inputs!D38/D27))</f>
        <v>5.2485238702202602E-3</v>
      </c>
      <c r="E56" s="151">
        <f>IF(E34="","",IF(Inputs!E38=0,0,Inputs!E38/E27))</f>
        <v>1.7952642314176075E-2</v>
      </c>
      <c r="F56" s="151">
        <f>IF(F34="","",IF(Inputs!F38=0,0,Inputs!F38/F27))</f>
        <v>3.1951645607358192E-2</v>
      </c>
      <c r="G56" s="151">
        <f>IF(G34="","",IF(Inputs!G38=0,0,Inputs!G38/G27))</f>
        <v>1.9027922933425648E-2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3.3811375773905486E-2</v>
      </c>
      <c r="D58" s="269">
        <f t="shared" si="49"/>
        <v>4.7279796654279974E-4</v>
      </c>
      <c r="E58" s="269">
        <f t="shared" si="49"/>
        <v>3.0008475503162126E-2</v>
      </c>
      <c r="F58" s="269">
        <f t="shared" si="49"/>
        <v>1.1545980515259548</v>
      </c>
      <c r="G58" s="269">
        <f t="shared" si="49"/>
        <v>15.355674777089316</v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2.6645369863811157E-2</v>
      </c>
      <c r="D59" s="269">
        <f t="shared" si="50"/>
        <v>-7.1122018435571159E-3</v>
      </c>
      <c r="E59" s="269">
        <f t="shared" si="50"/>
        <v>2.9418445869993756E-2</v>
      </c>
      <c r="F59" s="269">
        <f t="shared" si="50"/>
        <v>1.143918992575127</v>
      </c>
      <c r="G59" s="269">
        <f t="shared" si="50"/>
        <v>15.333081456853559</v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3027292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3023302</v>
      </c>
      <c r="K3" s="24"/>
    </row>
    <row r="4" spans="1:11" ht="15" customHeight="1" x14ac:dyDescent="0.4">
      <c r="B4" s="3" t="s">
        <v>22</v>
      </c>
      <c r="C4" s="86"/>
      <c r="D4" s="196">
        <f>Inputs!C42</f>
        <v>3990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4.8753437887604978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1983621.5</v>
      </c>
      <c r="E6" s="56">
        <f>1-D6/D3</f>
        <v>0.34475382619185724</v>
      </c>
      <c r="F6" s="86"/>
      <c r="G6" s="86"/>
      <c r="H6" s="1" t="s">
        <v>25</v>
      </c>
      <c r="I6" s="63">
        <f>(C24+C25)/I28</f>
        <v>4.6073037646401307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1.5888310222378725</v>
      </c>
      <c r="E7" s="11" t="str">
        <f>Dashboard!H3</f>
        <v>HKD</v>
      </c>
      <c r="H7" s="1" t="s">
        <v>26</v>
      </c>
      <c r="I7" s="63">
        <f>C24/I28</f>
        <v>4.1937751151682132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2385307</v>
      </c>
      <c r="D11" s="195">
        <f>Inputs!D48</f>
        <v>0.9</v>
      </c>
      <c r="E11" s="87">
        <f t="shared" ref="E11:E22" si="0">C11*D11</f>
        <v>2146776.3000000003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13416</v>
      </c>
      <c r="J12" s="86"/>
      <c r="K12" s="24"/>
    </row>
    <row r="13" spans="1:11" ht="13.9" x14ac:dyDescent="0.4">
      <c r="B13" s="3" t="s">
        <v>111</v>
      </c>
      <c r="C13" s="40">
        <f>Inputs!C50</f>
        <v>180994</v>
      </c>
      <c r="D13" s="195">
        <f>Inputs!D50</f>
        <v>0.6</v>
      </c>
      <c r="E13" s="87">
        <f t="shared" si="0"/>
        <v>108596.4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253051</v>
      </c>
      <c r="D15" s="195">
        <f>Inputs!D52</f>
        <v>0.5</v>
      </c>
      <c r="E15" s="87">
        <f t="shared" si="0"/>
        <v>126525.5</v>
      </c>
      <c r="F15" s="111"/>
      <c r="G15" s="86"/>
      <c r="H15" s="1" t="s">
        <v>49</v>
      </c>
      <c r="I15" s="83">
        <f>SUM(I11:I14)</f>
        <v>13416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158110</v>
      </c>
      <c r="D18" s="195">
        <f>Inputs!D55</f>
        <v>0.5</v>
      </c>
      <c r="E18" s="87">
        <f t="shared" si="0"/>
        <v>79055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5912</v>
      </c>
      <c r="D21" s="195">
        <f>Inputs!D58</f>
        <v>0.9</v>
      </c>
      <c r="E21" s="87">
        <f t="shared" si="0"/>
        <v>5320.8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598515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2566301</v>
      </c>
      <c r="D24" s="62">
        <f>IF(E24=0,0,E24/C24)</f>
        <v>0.87884184279240829</v>
      </c>
      <c r="E24" s="87">
        <f>SUM(E11:E14)</f>
        <v>2255372.7000000002</v>
      </c>
      <c r="F24" s="112">
        <f>E24/$E$28</f>
        <v>0.91448586004636967</v>
      </c>
      <c r="G24" s="86"/>
    </row>
    <row r="25" spans="2:10" ht="15" customHeight="1" x14ac:dyDescent="0.4">
      <c r="B25" s="23" t="s">
        <v>50</v>
      </c>
      <c r="C25" s="61">
        <f>SUM(C15:C17)</f>
        <v>253051</v>
      </c>
      <c r="D25" s="62">
        <f>IF(E25=0,0,E25/C25)</f>
        <v>0.5</v>
      </c>
      <c r="E25" s="87">
        <f>SUM(E15:E17)</f>
        <v>126525.5</v>
      </c>
      <c r="F25" s="112">
        <f>E25/$E$28</f>
        <v>5.1302288391314184E-2</v>
      </c>
      <c r="G25" s="86"/>
      <c r="H25" s="23" t="s">
        <v>51</v>
      </c>
      <c r="I25" s="63">
        <f>E28/I28</f>
        <v>4.0303138752571774</v>
      </c>
    </row>
    <row r="26" spans="2:10" ht="15" customHeight="1" x14ac:dyDescent="0.4">
      <c r="B26" s="23" t="s">
        <v>52</v>
      </c>
      <c r="C26" s="61">
        <f>C18+C19+C20</f>
        <v>158110</v>
      </c>
      <c r="D26" s="62">
        <f>IF(E26=0,0,E26/C26)</f>
        <v>0.5</v>
      </c>
      <c r="E26" s="87">
        <f>E18+E19+E20</f>
        <v>79055</v>
      </c>
      <c r="F26" s="112">
        <f>E26/$E$28</f>
        <v>3.2054427042575155E-2</v>
      </c>
      <c r="G26" s="86"/>
      <c r="H26" s="23" t="s">
        <v>53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5912</v>
      </c>
      <c r="D27" s="62">
        <f>IF(E27=0,0,E27/C27)</f>
        <v>0.9</v>
      </c>
      <c r="E27" s="87">
        <f>E21+E22</f>
        <v>5320.8</v>
      </c>
      <c r="F27" s="112">
        <f>E27/$E$28</f>
        <v>2.1574245197411158E-3</v>
      </c>
      <c r="G27" s="86"/>
      <c r="H27" s="23" t="s">
        <v>55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1"/>
      <c r="G28" s="86"/>
      <c r="H28" s="78" t="s">
        <v>15</v>
      </c>
      <c r="I28" s="202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279425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126127</v>
      </c>
      <c r="D31" s="195">
        <f>Inputs!D61</f>
        <v>0.6</v>
      </c>
      <c r="E31" s="87">
        <f t="shared" ref="E31:E42" si="1">C31*D31</f>
        <v>75676.2</v>
      </c>
      <c r="F31" s="111"/>
      <c r="G31" s="86"/>
      <c r="H31" s="3" t="s">
        <v>59</v>
      </c>
      <c r="I31" s="40">
        <f>Inputs!C79</f>
        <v>20583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20583</v>
      </c>
      <c r="J34" s="86"/>
    </row>
    <row r="35" spans="2:10" ht="13.9" x14ac:dyDescent="0.4">
      <c r="B35" s="3" t="s">
        <v>65</v>
      </c>
      <c r="C35" s="40">
        <f>Inputs!C65</f>
        <v>1500</v>
      </c>
      <c r="D35" s="195">
        <f>Inputs!D65</f>
        <v>0.1</v>
      </c>
      <c r="E35" s="87">
        <f t="shared" si="1"/>
        <v>150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193915</v>
      </c>
      <c r="D38" s="195">
        <f>Inputs!D68</f>
        <v>0.1</v>
      </c>
      <c r="E38" s="87">
        <f t="shared" si="1"/>
        <v>19391.5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9704</v>
      </c>
      <c r="D40" s="195">
        <f>Inputs!D70</f>
        <v>0.05</v>
      </c>
      <c r="E40" s="87">
        <f t="shared" si="1"/>
        <v>485.20000000000005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76124</v>
      </c>
      <c r="D41" s="195">
        <f>Inputs!D71</f>
        <v>0.9</v>
      </c>
      <c r="E41" s="87">
        <f t="shared" si="1"/>
        <v>68511.600000000006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10363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405552</v>
      </c>
      <c r="D44" s="62">
        <f>IF(E44=0,0,E44/C44)</f>
        <v>0.18660048526452833</v>
      </c>
      <c r="E44" s="87">
        <f>SUM(E30:E31)</f>
        <v>75676.2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1500</v>
      </c>
      <c r="D45" s="62">
        <f>IF(E45=0,0,E45/C45)</f>
        <v>0.1</v>
      </c>
      <c r="E45" s="87">
        <f>SUM(E32:E35)</f>
        <v>150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193915</v>
      </c>
      <c r="D46" s="62">
        <f>IF(E46=0,0,E46/C46)</f>
        <v>0.1</v>
      </c>
      <c r="E46" s="87">
        <f>E36+E37+E38+E39</f>
        <v>19391.5</v>
      </c>
      <c r="F46" s="86"/>
      <c r="G46" s="86"/>
      <c r="H46" s="23" t="s">
        <v>76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85828</v>
      </c>
      <c r="D47" s="62">
        <f>IF(E47=0,0,E47/C47)</f>
        <v>0.80389616442186707</v>
      </c>
      <c r="E47" s="87">
        <f>E40+E41+E42</f>
        <v>68996.800000000003</v>
      </c>
      <c r="F47" s="86"/>
      <c r="G47" s="86"/>
      <c r="H47" s="23" t="s">
        <v>78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81">
        <f>SUM(C30:C42)</f>
        <v>686795</v>
      </c>
      <c r="D48" s="81">
        <f>E48/C48</f>
        <v>0.23910264343799822</v>
      </c>
      <c r="E48" s="76">
        <f>SUM(E30:E42)</f>
        <v>164214.5</v>
      </c>
      <c r="F48" s="86"/>
      <c r="G48" s="86"/>
      <c r="H48" s="80" t="s">
        <v>80</v>
      </c>
      <c r="I48" s="279">
        <f>I49-I28</f>
        <v>30946</v>
      </c>
      <c r="J48" s="8"/>
    </row>
    <row r="49" spans="2:11" ht="15" customHeight="1" thickTop="1" x14ac:dyDescent="0.4">
      <c r="B49" s="3" t="s">
        <v>13</v>
      </c>
      <c r="C49" s="61">
        <f>Inputs!C41+Inputs!C37</f>
        <v>3670169</v>
      </c>
      <c r="D49" s="56">
        <f>E49/C49</f>
        <v>0.71672135533813297</v>
      </c>
      <c r="E49" s="87">
        <f>E28+E48</f>
        <v>2630488.5</v>
      </c>
      <c r="F49" s="86"/>
      <c r="G49" s="86"/>
      <c r="H49" s="3" t="s">
        <v>81</v>
      </c>
      <c r="I49" s="40">
        <f>Inputs!C37</f>
        <v>642877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3990</v>
      </c>
      <c r="D53" s="29">
        <f>IF(E53=0, 0,E53/C53)</f>
        <v>1</v>
      </c>
      <c r="E53" s="87">
        <f>IF(C53=0,0,MAX(C53,C53*Dashboard!G23))</f>
        <v>3990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33999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2664732</v>
      </c>
      <c r="D62" s="106">
        <f t="shared" si="2"/>
        <v>0.80562559386835164</v>
      </c>
      <c r="E62" s="116">
        <f>E11+E30</f>
        <v>2146776.3000000003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33999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608878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1615585</v>
      </c>
      <c r="D74" s="204"/>
      <c r="E74" s="233">
        <f>Inputs!E91</f>
        <v>1615585</v>
      </c>
      <c r="F74" s="204"/>
      <c r="H74" s="233">
        <f>Inputs!F91</f>
        <v>1615585</v>
      </c>
      <c r="I74" s="204"/>
      <c r="K74" s="24"/>
    </row>
    <row r="75" spans="1:11" ht="15" customHeight="1" x14ac:dyDescent="0.4">
      <c r="B75" s="103" t="s">
        <v>101</v>
      </c>
      <c r="C75" s="77">
        <f>Data!C8</f>
        <v>897327</v>
      </c>
      <c r="D75" s="156">
        <f>C75/$C$74</f>
        <v>0.55541924442229906</v>
      </c>
      <c r="E75" s="233">
        <f>Inputs!E92</f>
        <v>897327</v>
      </c>
      <c r="F75" s="157">
        <f>E75/E74</f>
        <v>0.55541924442229906</v>
      </c>
      <c r="H75" s="233">
        <f>Inputs!F92</f>
        <v>897327</v>
      </c>
      <c r="I75" s="157">
        <f>H75/$H$74</f>
        <v>0.55541924442229906</v>
      </c>
      <c r="K75" s="24"/>
    </row>
    <row r="76" spans="1:11" ht="15" customHeight="1" x14ac:dyDescent="0.4">
      <c r="B76" s="35" t="s">
        <v>91</v>
      </c>
      <c r="C76" s="158">
        <f>C74-C75</f>
        <v>718258</v>
      </c>
      <c r="D76" s="205"/>
      <c r="E76" s="159">
        <f>E74-E75</f>
        <v>718258</v>
      </c>
      <c r="F76" s="205"/>
      <c r="H76" s="159">
        <f>H74-H75</f>
        <v>718258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613104</v>
      </c>
      <c r="D77" s="156">
        <f>C77/$C$74</f>
        <v>0.37949349616392825</v>
      </c>
      <c r="E77" s="233">
        <f>Inputs!E93</f>
        <v>613104</v>
      </c>
      <c r="F77" s="157">
        <f>E77/E74</f>
        <v>0.37949349616392825</v>
      </c>
      <c r="H77" s="233">
        <f>Inputs!F93</f>
        <v>613104</v>
      </c>
      <c r="I77" s="157">
        <f>H77/$H$74</f>
        <v>0.37949349616392825</v>
      </c>
      <c r="K77" s="24"/>
    </row>
    <row r="78" spans="1:11" ht="15" customHeight="1" x14ac:dyDescent="0.4">
      <c r="B78" s="73" t="s">
        <v>160</v>
      </c>
      <c r="C78" s="77">
        <f>MAX(Data!C12,0)</f>
        <v>2932</v>
      </c>
      <c r="D78" s="156">
        <f>C78/$C$74</f>
        <v>1.8148224946381651E-3</v>
      </c>
      <c r="E78" s="177">
        <f>E74*F78</f>
        <v>2932</v>
      </c>
      <c r="F78" s="157">
        <f>I78</f>
        <v>1.8148224946381651E-3</v>
      </c>
      <c r="H78" s="233">
        <f>Inputs!F97</f>
        <v>2932</v>
      </c>
      <c r="I78" s="157">
        <f>H78/$H$74</f>
        <v>1.8148224946381651E-3</v>
      </c>
      <c r="K78" s="24"/>
    </row>
    <row r="79" spans="1:11" ht="15" customHeight="1" x14ac:dyDescent="0.4">
      <c r="B79" s="251" t="s">
        <v>216</v>
      </c>
      <c r="C79" s="252">
        <f>C76-C77-C78</f>
        <v>102222</v>
      </c>
      <c r="D79" s="253">
        <f>C79/C74</f>
        <v>6.3272436919134561E-2</v>
      </c>
      <c r="E79" s="254">
        <f>E76-E77-E78</f>
        <v>102222</v>
      </c>
      <c r="F79" s="253">
        <f>E79/E74</f>
        <v>6.3272436919134561E-2</v>
      </c>
      <c r="G79" s="255"/>
      <c r="H79" s="254">
        <f>H76-H77-H78</f>
        <v>102222</v>
      </c>
      <c r="I79" s="253">
        <f>H79/H74</f>
        <v>6.3272436919134561E-2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1003</v>
      </c>
      <c r="D81" s="156">
        <f>C81/$C$74</f>
        <v>6.208277497005729E-4</v>
      </c>
      <c r="E81" s="177">
        <f>E74*F81</f>
        <v>1003.0000000000001</v>
      </c>
      <c r="F81" s="157">
        <f>I81</f>
        <v>6.208277497005729E-4</v>
      </c>
      <c r="H81" s="233">
        <f>Inputs!F94</f>
        <v>1003.0000000000001</v>
      </c>
      <c r="I81" s="157">
        <f>H81/$H$74</f>
        <v>6.208277497005729E-4</v>
      </c>
      <c r="K81" s="24"/>
    </row>
    <row r="82" spans="1:11" ht="15" customHeight="1" x14ac:dyDescent="0.4">
      <c r="B82" s="28" t="s">
        <v>228</v>
      </c>
      <c r="C82" s="77">
        <f>ABS(MAX(Data!C21,0)-MAX(Data!C19,0))</f>
        <v>20662</v>
      </c>
      <c r="D82" s="156">
        <f>C82/$C$74</f>
        <v>1.2789175437999239E-2</v>
      </c>
      <c r="E82" s="233">
        <f>Inputs!E95</f>
        <v>20662</v>
      </c>
      <c r="F82" s="157">
        <f>E82/E74</f>
        <v>1.2789175437999239E-2</v>
      </c>
      <c r="H82" s="233">
        <f>Inputs!F95</f>
        <v>20662</v>
      </c>
      <c r="I82" s="157">
        <f>H82/$H$74</f>
        <v>1.2789175437999239E-2</v>
      </c>
      <c r="K82" s="24"/>
    </row>
    <row r="83" spans="1:11" ht="15" customHeight="1" thickBot="1" x14ac:dyDescent="0.45">
      <c r="B83" s="104" t="s">
        <v>119</v>
      </c>
      <c r="C83" s="160">
        <f>C79-C81-C82-C80</f>
        <v>80557</v>
      </c>
      <c r="D83" s="161">
        <f>C83/$C$74</f>
        <v>4.9862433731434744E-2</v>
      </c>
      <c r="E83" s="162">
        <f>E79-E81-E82-E80</f>
        <v>80557</v>
      </c>
      <c r="F83" s="161">
        <f>E83/E74</f>
        <v>4.9862433731434744E-2</v>
      </c>
      <c r="H83" s="162">
        <f>H79-H81-H82-H80</f>
        <v>80557</v>
      </c>
      <c r="I83" s="161">
        <f>H83/$H$74</f>
        <v>4.9862433731434744E-2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60417.75</v>
      </c>
      <c r="D85" s="253">
        <f>C85/$C$74</f>
        <v>3.7396825298576054E-2</v>
      </c>
      <c r="E85" s="259">
        <f>E83*(1-F84)</f>
        <v>60417.75</v>
      </c>
      <c r="F85" s="253">
        <f>E85/E74</f>
        <v>3.7396825298576054E-2</v>
      </c>
      <c r="G85" s="255"/>
      <c r="H85" s="259">
        <f>H83*(1-I84)</f>
        <v>60417.75</v>
      </c>
      <c r="I85" s="253">
        <f>H85/$H$74</f>
        <v>3.7396825298576054E-2</v>
      </c>
      <c r="K85" s="24"/>
    </row>
    <row r="86" spans="1:11" ht="15" customHeight="1" x14ac:dyDescent="0.4">
      <c r="B86" s="86" t="s">
        <v>151</v>
      </c>
      <c r="C86" s="164">
        <f>C85*Data!C4/Common_Shares</f>
        <v>4.5313306835836648E-2</v>
      </c>
      <c r="D86" s="204"/>
      <c r="E86" s="165">
        <f>E85*Data!C4/Common_Shares</f>
        <v>4.5313306835836648E-2</v>
      </c>
      <c r="F86" s="204"/>
      <c r="H86" s="165">
        <f>H85*Data!C4/Common_Shares</f>
        <v>4.5313306835836648E-2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2.5604815316852648E-2</v>
      </c>
      <c r="D87" s="204"/>
      <c r="E87" s="257">
        <f>E86*Exchange_Rate/Dashboard!G3</f>
        <v>2.5604815316852648E-2</v>
      </c>
      <c r="F87" s="204"/>
      <c r="H87" s="257">
        <f>H86*Exchange_Rate/Dashboard!G3</f>
        <v>2.5604815316852648E-2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0.1178</v>
      </c>
      <c r="D88" s="163">
        <f>C88/C86</f>
        <v>2.5996778479834153</v>
      </c>
      <c r="E88" s="167">
        <f>Inputs!E98</f>
        <v>0.1178</v>
      </c>
      <c r="F88" s="163">
        <f>E88/E86</f>
        <v>2.5996778479834153</v>
      </c>
      <c r="H88" s="167">
        <f>Inputs!F98</f>
        <v>0.1178</v>
      </c>
      <c r="I88" s="163">
        <f>H88/H86</f>
        <v>2.5996778479834153</v>
      </c>
      <c r="K88" s="24"/>
    </row>
    <row r="89" spans="1:11" ht="15" customHeight="1" x14ac:dyDescent="0.4">
      <c r="B89" s="86" t="s">
        <v>205</v>
      </c>
      <c r="C89" s="256">
        <f>C88*Exchange_Rate/Dashboard!G3</f>
        <v>6.6564271180928267E-2</v>
      </c>
      <c r="D89" s="204"/>
      <c r="E89" s="256">
        <f>E88*Exchange_Rate/Dashboard!G3</f>
        <v>6.6564271180928267E-2</v>
      </c>
      <c r="F89" s="204"/>
      <c r="H89" s="256">
        <f>H88*Exchange_Rate/Dashboard!G3</f>
        <v>6.6564271180928267E-2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0.82889176589467606</v>
      </c>
      <c r="H93" s="86" t="s">
        <v>194</v>
      </c>
      <c r="I93" s="142">
        <f>FV(H87,D93,0,-(H86/(C93-D94)))*Exchange_Rate</f>
        <v>0.82889176589467606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2.6209109098283827</v>
      </c>
      <c r="H94" s="86" t="s">
        <v>195</v>
      </c>
      <c r="I94" s="142">
        <f>FV(H89,D93,0,-(H88/(C93-D94)))*Exchange_Rate</f>
        <v>2.6209109098283827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549474.33812848292</v>
      </c>
      <c r="D97" s="208"/>
      <c r="E97" s="121">
        <f>PV(C94,D93,0,-F93)</f>
        <v>0.41210570208314945</v>
      </c>
      <c r="F97" s="208"/>
      <c r="H97" s="121">
        <f>PV(C94,D93,0,-I93)</f>
        <v>0.41210570208314945</v>
      </c>
      <c r="I97" s="121">
        <f>PV(C93,D93,0,-I93)</f>
        <v>0.54808621366866406</v>
      </c>
      <c r="K97" s="24"/>
    </row>
    <row r="98" spans="2:11" ht="15" customHeight="1" x14ac:dyDescent="0.4">
      <c r="B98" s="28" t="s">
        <v>138</v>
      </c>
      <c r="C98" s="90">
        <f>-E53*Exchange_Rate</f>
        <v>-4261.1869728565216</v>
      </c>
      <c r="D98" s="208"/>
      <c r="E98" s="208"/>
      <c r="F98" s="208"/>
      <c r="H98" s="121">
        <f>C98*Data!$C$4/Common_Shares</f>
        <v>-3.1958898301561625E-3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2122702.814761857</v>
      </c>
      <c r="D99" s="209"/>
      <c r="E99" s="143">
        <f>IF(H99&gt;0,H99*(1-C94),H99*(1+C94))</f>
        <v>1.3532228752578244</v>
      </c>
      <c r="F99" s="209"/>
      <c r="H99" s="143">
        <f>C99*Data!$C$4/Common_Shares</f>
        <v>1.5920269120680288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2667915.9659174834</v>
      </c>
      <c r="D100" s="108">
        <f>MIN(F100*(1-C94),E100)</f>
        <v>1.5993045000285318</v>
      </c>
      <c r="E100" s="108">
        <f>MAX(E97+H98+E99,0)</f>
        <v>1.7621326875108176</v>
      </c>
      <c r="F100" s="108">
        <f>(E100+H100)/2</f>
        <v>1.8815347059159198</v>
      </c>
      <c r="H100" s="108">
        <f>MAX(C100*Data!$C$4/Common_Shares,0)</f>
        <v>2.0009367243210221</v>
      </c>
      <c r="I100" s="108">
        <f>MAX(I97+H98+H99,0)</f>
        <v>2.1369172359065365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1737408.123384183</v>
      </c>
      <c r="D103" s="108">
        <f>MIN(F103*(1-C94),E103)</f>
        <v>1.1075975402077241</v>
      </c>
      <c r="E103" s="121">
        <f>PV(C94,D93,0,-F94)</f>
        <v>1.3030559296561459</v>
      </c>
      <c r="F103" s="108">
        <f>(E103+H103)/2</f>
        <v>1.3030559296561459</v>
      </c>
      <c r="H103" s="121">
        <f>PV(C94,D93,0,-I94)</f>
        <v>1.3030559296561459</v>
      </c>
      <c r="I103" s="108">
        <f>PV(C93,D93,0,-I94)</f>
        <v>1.7330189489579997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2043459.3335436941</v>
      </c>
      <c r="D106" s="108">
        <f>(D100+D103)/2</f>
        <v>1.3534510201181278</v>
      </c>
      <c r="E106" s="121">
        <f>(E100+E103)/2</f>
        <v>1.5325943085834819</v>
      </c>
      <c r="F106" s="108">
        <f>(F100+F103)/2</f>
        <v>1.5922953177860328</v>
      </c>
      <c r="H106" s="121">
        <f>(H100+H103)/2</f>
        <v>1.651996326988584</v>
      </c>
      <c r="I106" s="121">
        <f>(I100+I103)/2</f>
        <v>1.9349680924322681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