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2E2C3D0-E685-45BE-B149-F4AA9DCC385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B47" i="4"/>
  <c r="C49" i="3"/>
  <c r="G56" i="2"/>
  <c r="I56" i="2"/>
  <c r="D4" i="3"/>
  <c r="D3" i="3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F97" i="4"/>
  <c r="D53" i="4"/>
  <c r="I3" i="3"/>
  <c r="H56" i="2"/>
  <c r="J27" i="2"/>
  <c r="F27" i="2"/>
  <c r="F56" i="2" s="1"/>
  <c r="M56" i="2"/>
  <c r="E27" i="2"/>
  <c r="E56" i="2" s="1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<sst xmlns="http://schemas.openxmlformats.org/spreadsheetml/2006/main" count="392" uniqueCount="276">
  <si>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</si>
  <si>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</si>
  <si>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</si>
  <si>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</si>
  <si>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</si>
  <si>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</si>
  <si>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</si>
  <si>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</si>
  <si>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</si>
  <si>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</si>
  <si>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</si>
  <si>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</si>
  <si>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</si>
  <si>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</si>
  <si>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</si>
  <si>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</si>
  <si>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</si>
  <si>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</si>
  <si>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</si>
  <si>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</si>
  <si>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</si>
  <si>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</si>
  <si>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</si>
  <si>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</si>
  <si>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</si>
  <si>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</si>
  <si>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</si>
  <si>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</si>
  <si>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</si>
  <si>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</si>
  <si>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</si>
  <si>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</si>
  <si>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</si>
  <si>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</si>
  <si>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</si>
  <si>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</si>
  <si>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</si>
  <si>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</si>
  <si>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</si>
  <si>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</si>
  <si>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</si>
  <si>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</si>
  <si>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</si>
  <si>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</si>
  <si>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</si>
  <si>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</si>
  <si>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</si>
  <si>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</si>
  <si>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</si>
  <si>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</si>
  <si>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</si>
  <si>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</si>
  <si>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</si>
  <si>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</si>
  <si>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</si>
  <si>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</si>
  <si>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</si>
  <si>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</si>
  <si>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</si>
  <si>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</si>
  <si>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</si>
  <si>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</si>
  <si>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</si>
  <si>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</si>
  <si>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</si>
  <si>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</si>
  <si>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</si>
  <si>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</si>
  <si>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</si>
  <si>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</si>
  <si>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</si>
  <si>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</si>
  <si>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</si>
  <si>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</si>
  <si>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</si>
  <si>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</si>
  <si>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</si>
  <si>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</si>
  <si>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</si>
  <si>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</si>
  <si>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</si>
  <si>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</si>
  <si>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</si>
  <si>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</si>
  <si>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</si>
  <si>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</si>
  <si>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</si>
  <si>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</si>
  <si>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</si>
  <si>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</si>
  <si>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</si>
  <si>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</si>
  <si>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</si>
  <si>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</si>
  <si>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</si>
  <si>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</si>
  <si>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</si>
  <si>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</si>
  <si>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</si>
  <si>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</si>
  <si>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</si>
  <si>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</si>
  <si>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</si>
  <si>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</si>
  <si>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</si>
  <si>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</si>
  <si>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</si>
  <si>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</si>
  <si>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</si>
  <si>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</si>
  <si>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</si>
  <si>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</si>
  <si>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</si>
  <si>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</si>
  <si>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</si>
  <si>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</si>
  <si>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</si>
  <si>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</si>
  <si>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</si>
  <si>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</si>
  <si>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</si>
  <si>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</si>
  <si>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</si>
  <si>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</si>
  <si>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</si>
  <si>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</si>
  <si>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</si>
  <si>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</si>
  <si>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</si>
  <si>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</si>
  <si>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</si>
  <si>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</si>
  <si>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</si>
  <si>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</si>
  <si>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</si>
  <si>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</si>
  <si>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</si>
  <si>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</si>
  <si>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</si>
  <si>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</si>
  <si>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</si>
  <si>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</si>
  <si>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</si>
  <si>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</si>
  <si>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</si>
  <si>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</si>
  <si>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</si>
  <si>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</si>
  <si>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</si>
  <si>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</si>
  <si>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</si>
  <si>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</si>
  <si>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</si>
  <si>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</si>
  <si>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</si>
  <si>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</si>
  <si>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</si>
  <si>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</si>
  <si>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</si>
  <si>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</si>
  <si>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</si>
  <si>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</si>
  <si>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</si>
  <si>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</si>
  <si>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</si>
  <si>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</si>
  <si>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</si>
  <si>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</si>
  <si>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</si>
  <si>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</si>
  <si>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</si>
  <si>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</si>
  <si>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</si>
  <si>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</si>
  <si>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</si>
  <si>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</si>
  <si>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</si>
  <si>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</si>
  <si>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</si>
  <si>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</si>
  <si>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</si>
  <si>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</si>
  <si>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</si>
  <si>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</si>
  <si>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</si>
  <si>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</si>
  <si>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</si>
  <si>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</si>
  <si>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</si>
  <si>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</si>
  <si>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</si>
  <si>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</si>
  <si>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</si>
  <si>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</si>
  <si>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</si>
  <si>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</si>
  <si>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</si>
  <si>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</si>
  <si>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</si>
  <si>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</si>
  <si>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</si>
  <si>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</si>
  <si>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</si>
  <si>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</si>
  <si>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</si>
  <si>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</si>
  <si>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</si>
  <si>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</si>
  <si>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</si>
  <si>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</si>
  <si>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</si>
  <si>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</si>
  <si>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</si>
  <si>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</si>
  <si>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</si>
  <si>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</si>
  <si>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</si>
  <si>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</si>
  <si>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</si>
  <si>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</si>
  <si>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</si>
  <si>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</si>
  <si>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</si>
  <si>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</si>
  <si>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</si>
  <si>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</si>
  <si>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</si>
  <si>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</si>
  <si>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</si>
  <si>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</si>
  <si>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</si>
  <si>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</si>
  <si>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</si>
  <si>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</si>
  <si>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</si>
  <si>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</si>
  <si>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</si>
  <si>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</si>
  <si>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</si>
  <si>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</si>
  <si>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</si>
  <si>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</si>
  <si>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</si>
  <si>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</si>
  <si>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</si>
  <si>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</si>
  <si>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</si>
  <si>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</si>
  <si>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</si>
  <si>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</si>
  <si>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</si>
  <si>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</si>
  <si>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</si>
  <si>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</si>
  <si>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</si>
  <si>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</si>
  <si>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</si>
  <si>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</si>
  <si>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</si>
  <si>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</si>
  <si>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</si>
  <si>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</si>
  <si>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</si>
  <si>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</si>
  <si>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</si>
  <si>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6818.HK</t>
  </si>
  <si>
    <t>中国光大银行</t>
  </si>
  <si>
    <t xml:space="preserve">Superior Cycl. </t>
  </si>
  <si>
    <t>C0014</t>
  </si>
  <si>
    <t>CNY</t>
  </si>
  <si>
    <t>Strongly agree</t>
  </si>
  <si>
    <t>agree</t>
  </si>
  <si>
    <t>Consumer Monopoly</t>
  </si>
  <si>
    <t xml:space="preserve">	5,417,703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</si>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</sst>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265</v>
      </c>
    </row>
    <row r="5" spans="1:5" ht="13.9" x14ac:dyDescent="0.4">
      <c r="B5" s="139" t="s">
        <v>180</v>
      </c>
      <c r="C5" s="188" t="s">
        <v>266</v>
      </c>
    </row>
    <row r="6" spans="1:5" ht="13.9" x14ac:dyDescent="0.4">
      <c r="B6" s="139" t="s">
        <v>154</v>
      </c>
      <c r="C6" s="186">
        <v>45606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267</v>
      </c>
      <c r="E8" s="262"/>
    </row>
    <row r="9" spans="1:5" ht="13.9" x14ac:dyDescent="0.4">
      <c r="B9" s="138" t="s">
        <v>201</v>
      </c>
      <c r="C9" s="189" t="s">
        <v>268</v>
      </c>
    </row>
    <row r="10" spans="1:5" ht="13.9" x14ac:dyDescent="0.4">
      <c r="B10" s="138" t="s">
        <v>202</v>
      </c>
      <c r="C10" s="190">
        <v>59085551061</v>
      </c>
    </row>
    <row r="11" spans="1:5" ht="13.9" x14ac:dyDescent="0.4">
      <c r="B11" s="138" t="s">
        <v>203</v>
      </c>
      <c r="C11" s="189" t="s">
        <v>269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270</v>
      </c>
      <c r="D17" s="24"/>
    </row>
    <row r="18" spans="2:13" ht="13.9" x14ac:dyDescent="0.4">
      <c r="B18" s="235" t="s">
        <v>222</v>
      </c>
      <c r="C18" s="237" t="s">
        <v>271</v>
      </c>
      <c r="D18" s="24"/>
    </row>
    <row r="19" spans="2:13" ht="13.9" x14ac:dyDescent="0.4">
      <c r="B19" s="235" t="s">
        <v>223</v>
      </c>
      <c r="C19" s="237" t="s">
        <v>271</v>
      </c>
      <c r="D19" s="24"/>
    </row>
    <row r="20" spans="2:13" ht="13.9" x14ac:dyDescent="0.4">
      <c r="B20" s="236" t="s">
        <v>212</v>
      </c>
      <c r="C20" s="237" t="s">
        <v>271</v>
      </c>
      <c r="D20" s="24"/>
    </row>
    <row r="21" spans="2:13" ht="13.9" x14ac:dyDescent="0.4">
      <c r="B21" s="219" t="s">
        <v>215</v>
      </c>
      <c r="C21" s="237" t="s">
        <v>270</v>
      </c>
      <c r="D21" s="24"/>
    </row>
    <row r="22" spans="2:13" ht="78.75" x14ac:dyDescent="0.4">
      <c r="B22" s="221" t="s">
        <v>214</v>
      </c>
      <c r="C22" s="238" t="s">
        <v>272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277533</v>
      </c>
      <c r="D25" s="147">
        <v>271386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55101</v>
      </c>
      <c r="D26" s="148">
        <v>53933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43909</v>
      </c>
      <c r="D27" s="148">
        <v>45277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143329</v>
      </c>
      <c r="D29" s="148">
        <v>127654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284</v>
      </c>
      <c r="D30" s="148">
        <v>233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>
        <v>6225829</v>
      </c>
      <c r="D37" s="148">
        <v>5790497</v>
      </c>
      <c r="E37" s="148" t="s">
        <v>273</v>
      </c>
      <c r="F37" s="148">
        <v>4913123</v>
      </c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>
        <v>1394922</v>
      </c>
      <c r="E38" s="148">
        <v>1382175</v>
      </c>
      <c r="F38" s="148">
        <v>1490133</v>
      </c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570865</v>
      </c>
      <c r="D41" s="148">
        <v>510013</v>
      </c>
      <c r="E41" s="148">
        <v>484366</v>
      </c>
      <c r="F41" s="148">
        <v>455040</v>
      </c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2474</v>
      </c>
      <c r="D42" s="148">
        <v>2130</v>
      </c>
      <c r="E42" s="148">
        <v>1877</v>
      </c>
      <c r="F42" s="148">
        <v>1570</v>
      </c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0.173+0.104</f>
        <v>0.27699999999999997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0.10718361042835862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274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277533</v>
      </c>
      <c r="D91" s="204"/>
      <c r="E91" s="246">
        <f>C91</f>
        <v>277533</v>
      </c>
      <c r="F91" s="246">
        <f>C91</f>
        <v>277533</v>
      </c>
    </row>
    <row r="92" spans="2:8" ht="13.9" x14ac:dyDescent="0.4">
      <c r="B92" s="103" t="s">
        <v>101</v>
      </c>
      <c r="C92" s="77">
        <f>C26</f>
        <v>55101</v>
      </c>
      <c r="D92" s="156">
        <f>C92/C91</f>
        <v>0.19853855217217412</v>
      </c>
      <c r="E92" s="247">
        <f>E91*D92</f>
        <v>55101</v>
      </c>
      <c r="F92" s="247">
        <f>F91*D92</f>
        <v>55101</v>
      </c>
    </row>
    <row r="93" spans="2:8" ht="13.9" x14ac:dyDescent="0.4">
      <c r="B93" s="103" t="s">
        <v>228</v>
      </c>
      <c r="C93" s="77">
        <f>C27+C28</f>
        <v>43909</v>
      </c>
      <c r="D93" s="156">
        <f>C93/C91</f>
        <v>0.15821181625248168</v>
      </c>
      <c r="E93" s="247">
        <f>E91*D93</f>
        <v>43909</v>
      </c>
      <c r="F93" s="247">
        <f>F91*D93</f>
        <v>43909</v>
      </c>
    </row>
    <row r="94" spans="2:8" ht="13.9" x14ac:dyDescent="0.4">
      <c r="B94" s="103" t="s">
        <v>235</v>
      </c>
      <c r="C94" s="77">
        <f>C29</f>
        <v>143329</v>
      </c>
      <c r="D94" s="156">
        <f>C94/C91</f>
        <v>0.51643948647548221</v>
      </c>
      <c r="E94" s="248"/>
      <c r="F94" s="247">
        <f>F91*D94</f>
        <v>143329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378.66666666666669</v>
      </c>
      <c r="D97" s="156">
        <f>C97/C91</f>
        <v>1.3644023113167324E-3</v>
      </c>
      <c r="E97" s="248"/>
      <c r="F97" s="247">
        <f>F91*D97</f>
        <v>378.66666666666669</v>
      </c>
    </row>
    <row r="98" spans="2:7" ht="13.9" x14ac:dyDescent="0.4">
      <c r="B98" s="85" t="s">
        <v>192</v>
      </c>
      <c r="C98" s="232">
        <f>C44</f>
        <v>0.27699999999999997</v>
      </c>
      <c r="D98" s="261"/>
      <c r="E98" s="249">
        <f>F98</f>
        <v>0.21</v>
      </c>
      <c r="F98" s="249">
        <v>0.21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6818.HK</v>
      </c>
      <c r="D3" s="289"/>
      <c r="E3" s="86"/>
      <c r="F3" s="3" t="s">
        <v>1</v>
      </c>
      <c r="G3" s="130">
        <v>2.76</v>
      </c>
      <c r="H3" s="132" t="s">
        <v>275</v>
      </c>
    </row>
    <row r="4" spans="1:10" ht="15.75" customHeight="1" x14ac:dyDescent="0.4">
      <c r="B4" s="35" t="s">
        <v>180</v>
      </c>
      <c r="C4" s="290" t="str">
        <f>Inputs!C5</f>
        <v>中国光大银行</v>
      </c>
      <c r="D4" s="291"/>
      <c r="E4" s="86"/>
      <c r="F4" s="3" t="s">
        <v>2</v>
      </c>
      <c r="G4" s="294">
        <f>Inputs!C10</f>
        <v>59085551061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45606</v>
      </c>
      <c r="D5" s="293"/>
      <c r="E5" s="34"/>
      <c r="F5" s="35" t="s">
        <v>95</v>
      </c>
      <c r="G5" s="286">
        <f>G3*G4/1000000</f>
        <v>163076.12092835997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>
        <f>C23*C22*(1/C21)</f>
        <v>0.31341863846073098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245</v>
      </c>
      <c r="C21" s="273">
        <f>Data!C53</f>
        <v>8.3627569521299613E-2</v>
      </c>
      <c r="F21" s="86"/>
      <c r="G21" s="29"/>
    </row>
    <row r="22" spans="1:8" ht="15.75" customHeight="1" x14ac:dyDescent="0.4">
      <c r="B22" s="274" t="s">
        <v>259</v>
      </c>
      <c r="C22" s="275">
        <f>Data!C48</f>
        <v>4.083352877148802E-2</v>
      </c>
      <c r="F22" s="140" t="s">
        <v>170</v>
      </c>
    </row>
    <row r="23" spans="1:8" ht="15.75" customHeight="1" thickBot="1" x14ac:dyDescent="0.45">
      <c r="B23" s="276" t="s">
        <v>252</v>
      </c>
      <c r="C23" s="277">
        <f>Data!C13</f>
        <v>0.64188522926402747</v>
      </c>
      <c r="F23" s="138" t="s">
        <v>174</v>
      </c>
      <c r="G23" s="174">
        <f>G3/(Data!C34*Data!C4/Common_Shares*Exchange_Rate)</f>
        <v>0.26748489387927155</v>
      </c>
    </row>
    <row r="24" spans="1:8" ht="15.75" customHeight="1" x14ac:dyDescent="0.4">
      <c r="B24" s="135" t="s">
        <v>253</v>
      </c>
      <c r="C24" s="168">
        <f>Fin_Analysis!I81</f>
        <v>0.51643948647548221</v>
      </c>
      <c r="F24" s="138" t="s">
        <v>237</v>
      </c>
      <c r="G24" s="263">
        <f>G3/(Fin_Analysis!H86*G7)</f>
        <v>5.8479123736434255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0.47519160993470294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8.1258332815723144E-2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236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2.1143075864323695</v>
      </c>
      <c r="D29" s="127">
        <f>G29*(1+G20)</f>
        <v>3.8044101985858729</v>
      </c>
      <c r="E29" s="86"/>
      <c r="F29" s="129">
        <f>IF(Fin_Analysis!C108="Profit",Fin_Analysis!F100,IF(Fin_Analysis!C108="Dividend",Fin_Analysis!F103,Fin_Analysis!F106))</f>
        <v>2.4874206899204347</v>
      </c>
      <c r="G29" s="285">
        <f>IF(Fin_Analysis!C108="Profit",Fin_Analysis!I100,IF(Fin_Analysis!C108="Dividend",Fin_Analysis!I103,Fin_Analysis!I106))</f>
        <v>3.3081827813790201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178144.33333333334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277533</v>
      </c>
      <c r="D6" s="197">
        <f>IF(Inputs!D25="","",Inputs!D25)</f>
        <v>271386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2.2650394640843619E-2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55101</v>
      </c>
      <c r="D8" s="196">
        <f>IF(Inputs!D26="","",Inputs!D26)</f>
        <v>53933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222432</v>
      </c>
      <c r="D9" s="149">
        <f t="shared" si="2"/>
        <v>217453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43909</v>
      </c>
      <c r="D10" s="196">
        <f>IF(Inputs!D27="","",Inputs!D27)</f>
        <v>45277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378.66666666666669</v>
      </c>
      <c r="D12" s="196">
        <f>IF(Inputs!D30="","",MAX(Inputs!D30,0)/(1-Fin_Analysis!$I$84))</f>
        <v>310.66666666666669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0.64188522926402747</v>
      </c>
      <c r="D13" s="224">
        <f t="shared" si="3"/>
        <v>0.63328739630391151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178144.33333333334</v>
      </c>
      <c r="D14" s="225">
        <f t="shared" ref="D14:M14" si="4">IF(D6="","",D9-D10-MAX(D11,0)-MAX(D12,0))</f>
        <v>171865.33333333334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3.6534418420623896E-2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143329</v>
      </c>
      <c r="D17" s="196">
        <f>IF(Inputs!D29="","",Inputs!D29)</f>
        <v>127654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34815.333333333343</v>
      </c>
      <c r="D22" s="158">
        <f t="shared" ref="D22:M22" si="8">IF(D6="","",D14-MAX(D16,0)-MAX(D17,0)-ABS(MAX(D21,0)-MAX(D19,0)))</f>
        <v>44211.333333333343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9.408430709140897E-2</v>
      </c>
      <c r="D23" s="151">
        <f t="shared" si="9"/>
        <v>0.12218205802804864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26111.500000000007</v>
      </c>
      <c r="D24" s="77">
        <f>IF(D6="","",D22*(1-Fin_Analysis!$I$84))</f>
        <v>33158.500000000007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-0.21252469200959026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6796694</v>
      </c>
      <c r="D27" s="65">
        <f>IF(D34="","",D34+D30)</f>
        <v>6300510</v>
      </c>
      <c r="E27" s="65" t="e">
        <f t="shared" ref="E27:M27" si="20">IF(E34="","",E34+E30)</f>
        <v>#VALUE!</v>
      </c>
      <c r="F27" s="65">
        <f t="shared" si="20"/>
        <v>5368163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6225829</v>
      </c>
      <c r="D30" s="196">
        <f>IF(Inputs!D37="","",Inputs!D37)</f>
        <v>5790497</v>
      </c>
      <c r="E30" s="196" t="str">
        <f>IF(Inputs!E37="","",Inputs!E37)</f>
        <v xml:space="preserve">	5,417,703</v>
      </c>
      <c r="F30" s="196">
        <f>IF(Inputs!F37="","",Inputs!F37)</f>
        <v>4913123</v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570865</v>
      </c>
      <c r="D34" s="196">
        <f>IF(Inputs!D41="","",Inputs!D41)</f>
        <v>510013</v>
      </c>
      <c r="E34" s="196">
        <f>IF(Inputs!E41="","",Inputs!E41)</f>
        <v>484366</v>
      </c>
      <c r="F34" s="196">
        <f>IF(Inputs!F41="","",Inputs!F41)</f>
        <v>455040</v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2474</v>
      </c>
      <c r="D35" s="196">
        <f>IF(Inputs!D42="","",Inputs!D42)</f>
        <v>2130</v>
      </c>
      <c r="E35" s="196">
        <f>IF(Inputs!E42="","",Inputs!E42)</f>
        <v>1877</v>
      </c>
      <c r="F35" s="196">
        <f>IF(Inputs!F42="","",Inputs!F42)</f>
        <v>1570</v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6796694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2.6210438977145849E-2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0.19853855217217412</v>
      </c>
      <c r="D40" s="154">
        <f t="shared" si="34"/>
        <v>0.19873169581334335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0.15821181625248168</v>
      </c>
      <c r="D41" s="151">
        <f t="shared" si="35"/>
        <v>0.16683616693565623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0.51643948647548221</v>
      </c>
      <c r="D43" s="151">
        <f t="shared" si="37"/>
        <v>0.47037798559984673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1.3644023113167324E-3</v>
      </c>
      <c r="D44" s="151">
        <f t="shared" si="38"/>
        <v>1.1447409470888943E-3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0.12544574278854531</v>
      </c>
      <c r="D46" s="151">
        <f t="shared" si="40"/>
        <v>0.16290941070406484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8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>
        <f t="shared" ref="C48:M48" si="41">IF(C6="","",C6/C27)</f>
        <v>4.083352877148802E-2</v>
      </c>
      <c r="D48" s="267">
        <f t="shared" si="41"/>
        <v>4.3073655942138016E-2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>
        <f t="shared" ref="C53:M53" si="45">IF(C34="","",(C34-C35)/C27)</f>
        <v>8.3627569521299613E-2</v>
      </c>
      <c r="D53" s="154">
        <f t="shared" si="45"/>
        <v>8.0609823649196652E-2</v>
      </c>
      <c r="E53" s="154" t="e">
        <f t="shared" si="45"/>
        <v>#VALUE!</v>
      </c>
      <c r="F53" s="154">
        <f t="shared" si="45"/>
        <v>8.4473962508217426E-2</v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4.1168354939394511</v>
      </c>
      <c r="D55" s="151">
        <f t="shared" si="47"/>
        <v>2.8873591989987477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>
        <f>IF(D34="","",IF(Inputs!D38=0,0,Inputs!D38/D27))</f>
        <v>0.22139826775927662</v>
      </c>
      <c r="E56" s="151" t="e">
        <f>IF(E34="","",IF(Inputs!E38=0,0,Inputs!E38/E27))</f>
        <v>#VALUE!</v>
      </c>
      <c r="F56" s="151">
        <f>IF(F34="","",IF(Inputs!F38=0,0,Inputs!F38/F27))</f>
        <v>0.27758713735033752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>
        <f t="shared" ref="C58:M58" si="49">IF(C14="","",C14/(C34-C35))</f>
        <v>0.31341863846073098</v>
      </c>
      <c r="D58" s="269">
        <f t="shared" si="49"/>
        <v>0.33839552285336061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>
        <f t="shared" ref="C59:M59" si="50">IF(C22="","",C22/(C34-C35))</f>
        <v>6.1252435969840029E-2</v>
      </c>
      <c r="D59" s="269">
        <f t="shared" si="50"/>
        <v>8.70502326979508E-2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570865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568391</v>
      </c>
      <c r="K3" s="24"/>
    </row>
    <row r="4" spans="1:11" ht="15" customHeight="1" x14ac:dyDescent="0.4">
      <c r="B4" s="3" t="s">
        <v>22</v>
      </c>
      <c r="C4" s="86"/>
      <c r="D4" s="196">
        <f>Inputs!C42</f>
        <v>2474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-6228303</v>
      </c>
      <c r="E6" s="56">
        <f>1-D6/D3</f>
        <v>11.910290524029325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6225829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6225829</v>
      </c>
      <c r="J48" s="8"/>
    </row>
    <row r="49" spans="2:11" ht="15" customHeight="1" thickTop="1" x14ac:dyDescent="0.4">
      <c r="B49" s="3" t="s">
        <v>13</v>
      </c>
      <c r="C49" s="61">
        <f>Inputs!C41+Inputs!C37</f>
        <v>6796694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6225829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2474</v>
      </c>
      <c r="D53" s="29">
        <f>IF(E53=0, 0,E53/C53)</f>
        <v>1</v>
      </c>
      <c r="E53" s="87">
        <f>IF(C53=0,0,MAX(C53,C53*Dashboard!G23))</f>
        <v>2474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6796694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6225829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570865</v>
      </c>
      <c r="D70" s="29">
        <f t="shared" si="2"/>
        <v>-10.905956749844535</v>
      </c>
      <c r="E70" s="68">
        <f>E68-E69</f>
        <v>-6225829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277533</v>
      </c>
      <c r="D74" s="204"/>
      <c r="E74" s="233">
        <f>Inputs!E91</f>
        <v>277533</v>
      </c>
      <c r="F74" s="204"/>
      <c r="H74" s="233">
        <f>Inputs!F91</f>
        <v>277533</v>
      </c>
      <c r="I74" s="204"/>
      <c r="K74" s="24"/>
    </row>
    <row r="75" spans="1:11" ht="15" customHeight="1" x14ac:dyDescent="0.4">
      <c r="B75" s="103" t="s">
        <v>101</v>
      </c>
      <c r="C75" s="77">
        <f>Data!C8</f>
        <v>55101</v>
      </c>
      <c r="D75" s="156">
        <f>C75/$C$74</f>
        <v>0.19853855217217412</v>
      </c>
      <c r="E75" s="233">
        <f>Inputs!E92</f>
        <v>55101</v>
      </c>
      <c r="F75" s="157">
        <f>E75/E74</f>
        <v>0.19853855217217412</v>
      </c>
      <c r="H75" s="233">
        <f>Inputs!F92</f>
        <v>55101</v>
      </c>
      <c r="I75" s="157">
        <f>H75/$H$74</f>
        <v>0.19853855217217412</v>
      </c>
      <c r="K75" s="24"/>
    </row>
    <row r="76" spans="1:11" ht="15" customHeight="1" x14ac:dyDescent="0.4">
      <c r="B76" s="35" t="s">
        <v>91</v>
      </c>
      <c r="C76" s="158">
        <f>C74-C75</f>
        <v>222432</v>
      </c>
      <c r="D76" s="205"/>
      <c r="E76" s="159">
        <f>E74-E75</f>
        <v>222432</v>
      </c>
      <c r="F76" s="205"/>
      <c r="H76" s="159">
        <f>H74-H75</f>
        <v>222432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43909</v>
      </c>
      <c r="D77" s="156">
        <f>C77/$C$74</f>
        <v>0.15821181625248168</v>
      </c>
      <c r="E77" s="233">
        <f>Inputs!E93</f>
        <v>43909</v>
      </c>
      <c r="F77" s="157">
        <f>E77/E74</f>
        <v>0.15821181625248168</v>
      </c>
      <c r="H77" s="233">
        <f>Inputs!F93</f>
        <v>43909</v>
      </c>
      <c r="I77" s="157">
        <f>H77/$H$74</f>
        <v>0.15821181625248168</v>
      </c>
      <c r="K77" s="24"/>
    </row>
    <row r="78" spans="1:11" ht="15" customHeight="1" x14ac:dyDescent="0.4">
      <c r="B78" s="73" t="s">
        <v>160</v>
      </c>
      <c r="C78" s="77">
        <f>MAX(Data!C12,0)</f>
        <v>378.66666666666669</v>
      </c>
      <c r="D78" s="156">
        <f>C78/$C$74</f>
        <v>1.3644023113167324E-3</v>
      </c>
      <c r="E78" s="177">
        <f>E74*F78</f>
        <v>378.66666666666669</v>
      </c>
      <c r="F78" s="157">
        <f>I78</f>
        <v>1.3644023113167324E-3</v>
      </c>
      <c r="H78" s="233">
        <f>Inputs!F97</f>
        <v>378.66666666666669</v>
      </c>
      <c r="I78" s="157">
        <f>H78/$H$74</f>
        <v>1.3644023113167324E-3</v>
      </c>
      <c r="K78" s="24"/>
    </row>
    <row r="79" spans="1:11" ht="15" customHeight="1" x14ac:dyDescent="0.4">
      <c r="B79" s="251" t="s">
        <v>216</v>
      </c>
      <c r="C79" s="252">
        <f>C76-C77-C78</f>
        <v>178144.33333333334</v>
      </c>
      <c r="D79" s="253">
        <f>C79/C74</f>
        <v>0.64188522926402747</v>
      </c>
      <c r="E79" s="254">
        <f>E76-E77-E78</f>
        <v>178144.33333333334</v>
      </c>
      <c r="F79" s="253">
        <f>E79/E74</f>
        <v>0.64188522926402747</v>
      </c>
      <c r="G79" s="255"/>
      <c r="H79" s="254">
        <f>H76-H77-H78</f>
        <v>178144.33333333334</v>
      </c>
      <c r="I79" s="253">
        <f>H79/H74</f>
        <v>0.64188522926402747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143329</v>
      </c>
      <c r="D81" s="156">
        <f>C81/$C$74</f>
        <v>0.51643948647548221</v>
      </c>
      <c r="E81" s="177">
        <f>E74*F81</f>
        <v>143329</v>
      </c>
      <c r="F81" s="157">
        <f>I81</f>
        <v>0.51643948647548221</v>
      </c>
      <c r="H81" s="233">
        <f>Inputs!F94</f>
        <v>143329</v>
      </c>
      <c r="I81" s="157">
        <f>H81/$H$74</f>
        <v>0.51643948647548221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34815.333333333343</v>
      </c>
      <c r="D83" s="161">
        <f>C83/$C$74</f>
        <v>0.12544574278854531</v>
      </c>
      <c r="E83" s="162">
        <f>E79-E81-E82-E80</f>
        <v>34815.333333333343</v>
      </c>
      <c r="F83" s="161">
        <f>E83/E74</f>
        <v>0.12544574278854531</v>
      </c>
      <c r="H83" s="162">
        <f>H79-H81-H82-H80</f>
        <v>34815.333333333343</v>
      </c>
      <c r="I83" s="161">
        <f>H83/$H$74</f>
        <v>0.12544574278854531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26111.500000000007</v>
      </c>
      <c r="D85" s="253">
        <f>C85/$C$74</f>
        <v>9.408430709140897E-2</v>
      </c>
      <c r="E85" s="259">
        <f>E83*(1-F84)</f>
        <v>26111.500000000007</v>
      </c>
      <c r="F85" s="253">
        <f>E85/E74</f>
        <v>9.408430709140897E-2</v>
      </c>
      <c r="G85" s="255"/>
      <c r="H85" s="259">
        <f>H83*(1-I84)</f>
        <v>26111.500000000007</v>
      </c>
      <c r="I85" s="253">
        <f>H85/$H$74</f>
        <v>9.408430709140897E-2</v>
      </c>
      <c r="K85" s="24"/>
    </row>
    <row r="86" spans="1:11" ht="15" customHeight="1" x14ac:dyDescent="0.4">
      <c r="B86" s="86" t="s">
        <v>151</v>
      </c>
      <c r="C86" s="164">
        <f>C85*Data!C4/Common_Shares</f>
        <v>0.44192699452091866</v>
      </c>
      <c r="D86" s="204"/>
      <c r="E86" s="165">
        <f>E85*Data!C4/Common_Shares</f>
        <v>0.44192699452091866</v>
      </c>
      <c r="F86" s="204"/>
      <c r="H86" s="165">
        <f>H85*Data!C4/Common_Shares</f>
        <v>0.44192699452091866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0.17100119429063365</v>
      </c>
      <c r="D87" s="204"/>
      <c r="E87" s="257">
        <f>E86*Exchange_Rate/Dashboard!G3</f>
        <v>0.17100119429063365</v>
      </c>
      <c r="F87" s="204"/>
      <c r="H87" s="257">
        <f>H86*Exchange_Rate/Dashboard!G3</f>
        <v>0.17100119429063365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0.27699999999999997</v>
      </c>
      <c r="D88" s="163">
        <f>C88/C86</f>
        <v>0.6268003616757748</v>
      </c>
      <c r="E88" s="167">
        <f>Inputs!E98</f>
        <v>0.21</v>
      </c>
      <c r="F88" s="163">
        <f>E88/E86</f>
        <v>0.47519160993470294</v>
      </c>
      <c r="H88" s="167">
        <f>Inputs!F98</f>
        <v>0.21</v>
      </c>
      <c r="I88" s="163">
        <f>H88/H86</f>
        <v>0.47519160993470294</v>
      </c>
      <c r="K88" s="24"/>
    </row>
    <row r="89" spans="1:11" ht="15" customHeight="1" x14ac:dyDescent="0.4">
      <c r="B89" s="86" t="s">
        <v>205</v>
      </c>
      <c r="C89" s="256">
        <f>C88*Exchange_Rate/Dashboard!G3</f>
        <v>0.10718361042835862</v>
      </c>
      <c r="D89" s="204"/>
      <c r="E89" s="256">
        <f>E88*Exchange_Rate/Dashboard!G3</f>
        <v>8.1258332815723144E-2</v>
      </c>
      <c r="F89" s="204"/>
      <c r="H89" s="256">
        <f>H88*Exchange_Rate/Dashboard!G3</f>
        <v>8.1258332815723144E-2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15.685885229553127</v>
      </c>
      <c r="H93" s="86" t="s">
        <v>194</v>
      </c>
      <c r="I93" s="142">
        <f>FV(H87,D93,0,-(H86/(C93-D94)))*Exchange_Rate</f>
        <v>15.685885229553127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5.0030914830076734</v>
      </c>
      <c r="H94" s="86" t="s">
        <v>195</v>
      </c>
      <c r="I94" s="142">
        <f>FV(H89,D93,0,-(H88/(C93-D94)))*Exchange_Rate</f>
        <v>5.0030914830076734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460787.95871145948</v>
      </c>
      <c r="D97" s="208"/>
      <c r="E97" s="121">
        <f>PV(C94,D93,0,-F93)</f>
        <v>7.79865720869289</v>
      </c>
      <c r="F97" s="208"/>
      <c r="H97" s="121">
        <f>PV(C94,D93,0,-I93)</f>
        <v>7.79865720869289</v>
      </c>
      <c r="I97" s="121">
        <f>PV(C93,D93,0,-I93)</f>
        <v>10.371942148837091</v>
      </c>
      <c r="K97" s="24"/>
    </row>
    <row r="98" spans="2:11" ht="15" customHeight="1" x14ac:dyDescent="0.4">
      <c r="B98" s="28" t="s">
        <v>138</v>
      </c>
      <c r="C98" s="90">
        <f>-E53*Exchange_Rate</f>
        <v>-2642.149516503016</v>
      </c>
      <c r="D98" s="208"/>
      <c r="E98" s="208"/>
      <c r="F98" s="208"/>
      <c r="H98" s="121">
        <f>C98*Data!$C$4/Common_Shares</f>
        <v>-4.4717354227182503E-2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458145.80919495644</v>
      </c>
      <c r="D100" s="108">
        <f>MIN(F100*(1-C94),E100)</f>
        <v>6.5908488762958513</v>
      </c>
      <c r="E100" s="108">
        <f>MAX(E97+H98+E99,0)</f>
        <v>7.7539398544657079</v>
      </c>
      <c r="F100" s="108">
        <f>(E100+H100)/2</f>
        <v>7.7539398544657079</v>
      </c>
      <c r="H100" s="108">
        <f>MAX(C100*Data!$C$4/Common_Shares,0)</f>
        <v>7.753939854465707</v>
      </c>
      <c r="I100" s="108">
        <f>MAX(I97+H98+H99,0)</f>
        <v>10.327224794609908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146970.62218448168</v>
      </c>
      <c r="D103" s="108">
        <f>MIN(F103*(1-C94),E103)</f>
        <v>2.1143075864323695</v>
      </c>
      <c r="E103" s="121">
        <f>PV(C94,D93,0,-F94)</f>
        <v>2.4874206899204347</v>
      </c>
      <c r="F103" s="108">
        <f>(E103+H103)/2</f>
        <v>2.4874206899204347</v>
      </c>
      <c r="H103" s="121">
        <f>PV(C94,D93,0,-I94)</f>
        <v>2.4874206899204347</v>
      </c>
      <c r="I103" s="108">
        <f>PV(C93,D93,0,-I94)</f>
        <v>3.3081827813790201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302558.21568971913</v>
      </c>
      <c r="D106" s="108">
        <f>(D100+D103)/2</f>
        <v>4.3525782313641104</v>
      </c>
      <c r="E106" s="121">
        <f>(E100+E103)/2</f>
        <v>5.1206802721930718</v>
      </c>
      <c r="F106" s="108">
        <f>(F100+F103)/2</f>
        <v>5.1206802721930718</v>
      </c>
      <c r="H106" s="121">
        <f>(H100+H103)/2</f>
        <v>5.1206802721930709</v>
      </c>
      <c r="I106" s="121">
        <f>(I100+I103)/2</f>
        <v>6.8177037879944642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